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/>
  <mc:AlternateContent xmlns:mc="http://schemas.openxmlformats.org/markup-compatibility/2006">
    <mc:Choice Requires="x15">
      <x15ac:absPath xmlns:x15ac="http://schemas.microsoft.com/office/spreadsheetml/2010/11/ac" url="/Users/mwrosslee/Downloads/Mining Models/"/>
    </mc:Choice>
  </mc:AlternateContent>
  <xr:revisionPtr revIDLastSave="0" documentId="8_{7935021C-2317-DD40-BC07-87CF7646025E}" xr6:coauthVersionLast="47" xr6:coauthVersionMax="47" xr10:uidLastSave="{00000000-0000-0000-0000-000000000000}"/>
  <bookViews>
    <workbookView xWindow="0" yWindow="0" windowWidth="38400" windowHeight="24000" tabRatio="500" activeTab="9" xr2:uid="{00000000-000D-0000-FFFF-FFFF00000000}"/>
  </bookViews>
  <sheets>
    <sheet name="Assumptions" sheetId="1" r:id="rId1"/>
    <sheet name="Commodity Templates" sheetId="2" r:id="rId2"/>
    <sheet name="Resources &amp; Reserves" sheetId="3" r:id="rId3"/>
    <sheet name="Resource Depletion" sheetId="4" r:id="rId4"/>
    <sheet name="Hedging" sheetId="5" r:id="rId5"/>
    <sheet name="Project Cash Flow" sheetId="6" r:id="rId6"/>
    <sheet name="Working Capital" sheetId="7" r:id="rId7"/>
    <sheet name="Debt Schedule" sheetId="8" r:id="rId8"/>
    <sheet name="Equity Cash Flow" sheetId="9" r:id="rId9"/>
    <sheet name="Financial Statements" sheetId="10" r:id="rId10"/>
    <sheet name="Dashboard" sheetId="11" r:id="rId1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75" i="11" l="1"/>
  <c r="B74" i="11"/>
  <c r="B73" i="11"/>
  <c r="B72" i="11"/>
  <c r="B71" i="11"/>
  <c r="B70" i="11"/>
  <c r="B69" i="11"/>
  <c r="B68" i="11"/>
  <c r="B65" i="11"/>
  <c r="B56" i="11"/>
  <c r="B55" i="11"/>
  <c r="B54" i="11"/>
  <c r="B53" i="11"/>
  <c r="B52" i="11"/>
  <c r="C24" i="11"/>
  <c r="B23" i="11"/>
  <c r="C17" i="11"/>
  <c r="B17" i="11"/>
  <c r="B9" i="11"/>
  <c r="B7" i="11"/>
  <c r="B6" i="11"/>
  <c r="B5" i="11"/>
  <c r="B4" i="11"/>
  <c r="V116" i="10"/>
  <c r="U116" i="10"/>
  <c r="T116" i="10"/>
  <c r="S116" i="10"/>
  <c r="R116" i="10"/>
  <c r="Q116" i="10"/>
  <c r="P116" i="10"/>
  <c r="O116" i="10"/>
  <c r="N116" i="10"/>
  <c r="M116" i="10"/>
  <c r="L116" i="10"/>
  <c r="K116" i="10"/>
  <c r="J116" i="10"/>
  <c r="I116" i="10"/>
  <c r="H116" i="10"/>
  <c r="G116" i="10"/>
  <c r="F116" i="10"/>
  <c r="E116" i="10"/>
  <c r="D116" i="10"/>
  <c r="C116" i="10"/>
  <c r="B116" i="10"/>
  <c r="V84" i="10"/>
  <c r="U84" i="10"/>
  <c r="T84" i="10"/>
  <c r="S84" i="10"/>
  <c r="R84" i="10"/>
  <c r="Q84" i="10"/>
  <c r="P84" i="10"/>
  <c r="O84" i="10"/>
  <c r="N84" i="10"/>
  <c r="M84" i="10"/>
  <c r="L84" i="10"/>
  <c r="K84" i="10"/>
  <c r="J84" i="10"/>
  <c r="I84" i="10"/>
  <c r="H84" i="10"/>
  <c r="G84" i="10"/>
  <c r="F84" i="10"/>
  <c r="E84" i="10"/>
  <c r="D84" i="10"/>
  <c r="C84" i="10"/>
  <c r="B84" i="10"/>
  <c r="V68" i="10"/>
  <c r="V44" i="10"/>
  <c r="U44" i="10"/>
  <c r="T44" i="10"/>
  <c r="S44" i="10"/>
  <c r="R44" i="10"/>
  <c r="Q44" i="10"/>
  <c r="P44" i="10"/>
  <c r="O44" i="10"/>
  <c r="N44" i="10"/>
  <c r="M44" i="10"/>
  <c r="L44" i="10"/>
  <c r="K44" i="10"/>
  <c r="J44" i="10"/>
  <c r="I44" i="10"/>
  <c r="H44" i="10"/>
  <c r="G44" i="10"/>
  <c r="F44" i="10"/>
  <c r="E44" i="10"/>
  <c r="D44" i="10"/>
  <c r="C44" i="10"/>
  <c r="B44" i="10"/>
  <c r="V5" i="10"/>
  <c r="U5" i="10"/>
  <c r="T5" i="10"/>
  <c r="S5" i="10"/>
  <c r="R5" i="10"/>
  <c r="Q5" i="10"/>
  <c r="P5" i="10"/>
  <c r="O5" i="10"/>
  <c r="N5" i="10"/>
  <c r="M5" i="10"/>
  <c r="L5" i="10"/>
  <c r="K5" i="10"/>
  <c r="J5" i="10"/>
  <c r="I5" i="10"/>
  <c r="H5" i="10"/>
  <c r="G5" i="10"/>
  <c r="F5" i="10"/>
  <c r="E5" i="10"/>
  <c r="D5" i="10"/>
  <c r="C5" i="10"/>
  <c r="B5" i="10"/>
  <c r="P13" i="9"/>
  <c r="H13" i="9"/>
  <c r="U8" i="9"/>
  <c r="U9" i="9" s="1"/>
  <c r="U107" i="10" s="1"/>
  <c r="Q8" i="9"/>
  <c r="Q9" i="9" s="1"/>
  <c r="Q107" i="10" s="1"/>
  <c r="M8" i="9"/>
  <c r="M9" i="9" s="1"/>
  <c r="M107" i="10" s="1"/>
  <c r="I8" i="9"/>
  <c r="I9" i="9" s="1"/>
  <c r="I107" i="10" s="1"/>
  <c r="G8" i="9"/>
  <c r="E8" i="9"/>
  <c r="E9" i="9" s="1"/>
  <c r="E107" i="10" s="1"/>
  <c r="V7" i="9"/>
  <c r="U7" i="9"/>
  <c r="T7" i="9"/>
  <c r="S7" i="9"/>
  <c r="R7" i="9"/>
  <c r="Q7" i="9"/>
  <c r="P7" i="9"/>
  <c r="O7" i="9"/>
  <c r="N7" i="9"/>
  <c r="M7" i="9"/>
  <c r="L7" i="9"/>
  <c r="K7" i="9"/>
  <c r="J7" i="9"/>
  <c r="I7" i="9"/>
  <c r="H7" i="9"/>
  <c r="G7" i="9"/>
  <c r="F7" i="9"/>
  <c r="E7" i="9"/>
  <c r="V3" i="9"/>
  <c r="U3" i="9"/>
  <c r="T3" i="9"/>
  <c r="S3" i="9"/>
  <c r="R3" i="9"/>
  <c r="Q3" i="9"/>
  <c r="P3" i="9"/>
  <c r="O3" i="9"/>
  <c r="N3" i="9"/>
  <c r="M3" i="9"/>
  <c r="L3" i="9"/>
  <c r="K3" i="9"/>
  <c r="J3" i="9"/>
  <c r="I3" i="9"/>
  <c r="H3" i="9"/>
  <c r="G3" i="9"/>
  <c r="F3" i="9"/>
  <c r="E3" i="9"/>
  <c r="D3" i="9"/>
  <c r="C3" i="9"/>
  <c r="B3" i="9"/>
  <c r="U12" i="8"/>
  <c r="Q12" i="8"/>
  <c r="M12" i="8"/>
  <c r="I12" i="8"/>
  <c r="G12" i="8"/>
  <c r="V8" i="8"/>
  <c r="U8" i="8"/>
  <c r="T8" i="8"/>
  <c r="S8" i="8"/>
  <c r="R8" i="8"/>
  <c r="Q8" i="8"/>
  <c r="P8" i="8"/>
  <c r="O8" i="8"/>
  <c r="N8" i="8"/>
  <c r="M8" i="8"/>
  <c r="L8" i="8"/>
  <c r="K8" i="8"/>
  <c r="J8" i="8"/>
  <c r="I8" i="8"/>
  <c r="H8" i="8"/>
  <c r="G8" i="8"/>
  <c r="F8" i="8"/>
  <c r="E8" i="8"/>
  <c r="K7" i="8"/>
  <c r="V3" i="8"/>
  <c r="U3" i="8"/>
  <c r="T3" i="8"/>
  <c r="S3" i="8"/>
  <c r="R3" i="8"/>
  <c r="Q3" i="8"/>
  <c r="P3" i="8"/>
  <c r="O3" i="8"/>
  <c r="N3" i="8"/>
  <c r="M3" i="8"/>
  <c r="L3" i="8"/>
  <c r="K3" i="8"/>
  <c r="J3" i="8"/>
  <c r="I3" i="8"/>
  <c r="H3" i="8"/>
  <c r="G3" i="8"/>
  <c r="F3" i="8"/>
  <c r="E3" i="8"/>
  <c r="D3" i="8"/>
  <c r="C3" i="8"/>
  <c r="B3" i="8"/>
  <c r="V47" i="7"/>
  <c r="U47" i="7"/>
  <c r="T47" i="7"/>
  <c r="T47" i="6" s="1"/>
  <c r="S47" i="7"/>
  <c r="S47" i="6" s="1"/>
  <c r="R47" i="7"/>
  <c r="Q47" i="7"/>
  <c r="P47" i="7"/>
  <c r="P47" i="6" s="1"/>
  <c r="O47" i="7"/>
  <c r="N47" i="7"/>
  <c r="M47" i="7"/>
  <c r="L47" i="7"/>
  <c r="L47" i="6" s="1"/>
  <c r="K47" i="7"/>
  <c r="J47" i="7"/>
  <c r="I47" i="7"/>
  <c r="H47" i="7"/>
  <c r="H47" i="6" s="1"/>
  <c r="G47" i="7"/>
  <c r="G47" i="6" s="1"/>
  <c r="F47" i="7"/>
  <c r="E47" i="7"/>
  <c r="D47" i="7"/>
  <c r="D47" i="6" s="1"/>
  <c r="C47" i="7"/>
  <c r="C47" i="6" s="1"/>
  <c r="B47" i="7"/>
  <c r="B7" i="7"/>
  <c r="V3" i="7"/>
  <c r="U3" i="7"/>
  <c r="T3" i="7"/>
  <c r="S3" i="7"/>
  <c r="R3" i="7"/>
  <c r="Q3" i="7"/>
  <c r="P3" i="7"/>
  <c r="O3" i="7"/>
  <c r="N3" i="7"/>
  <c r="M3" i="7"/>
  <c r="L3" i="7"/>
  <c r="K3" i="7"/>
  <c r="J3" i="7"/>
  <c r="I3" i="7"/>
  <c r="H3" i="7"/>
  <c r="G3" i="7"/>
  <c r="F3" i="7"/>
  <c r="E3" i="7"/>
  <c r="D3" i="7"/>
  <c r="C3" i="7"/>
  <c r="B3" i="7"/>
  <c r="V47" i="6"/>
  <c r="U47" i="6"/>
  <c r="R47" i="6"/>
  <c r="Q47" i="6"/>
  <c r="O47" i="6"/>
  <c r="N47" i="6"/>
  <c r="M47" i="6"/>
  <c r="K47" i="6"/>
  <c r="J47" i="6"/>
  <c r="I47" i="6"/>
  <c r="F47" i="6"/>
  <c r="E47" i="6"/>
  <c r="B47" i="6"/>
  <c r="V32" i="6"/>
  <c r="L32" i="6"/>
  <c r="B32" i="6"/>
  <c r="V28" i="6"/>
  <c r="U28" i="6"/>
  <c r="T28" i="6"/>
  <c r="S28" i="6"/>
  <c r="R28" i="6"/>
  <c r="Q28" i="6"/>
  <c r="P28" i="6"/>
  <c r="O28" i="6"/>
  <c r="N28" i="6"/>
  <c r="M28" i="6"/>
  <c r="L28" i="6"/>
  <c r="K28" i="6"/>
  <c r="J28" i="6"/>
  <c r="I28" i="6"/>
  <c r="H28" i="6"/>
  <c r="G28" i="6"/>
  <c r="F28" i="6"/>
  <c r="E28" i="6"/>
  <c r="D28" i="6"/>
  <c r="C28" i="6"/>
  <c r="B28" i="6"/>
  <c r="D26" i="6"/>
  <c r="V3" i="6"/>
  <c r="U3" i="6"/>
  <c r="T3" i="6"/>
  <c r="S3" i="6"/>
  <c r="R3" i="6"/>
  <c r="Q3" i="6"/>
  <c r="P3" i="6"/>
  <c r="O3" i="6"/>
  <c r="N3" i="6"/>
  <c r="M3" i="6"/>
  <c r="L3" i="6"/>
  <c r="K3" i="6"/>
  <c r="J3" i="6"/>
  <c r="I3" i="6"/>
  <c r="H3" i="6"/>
  <c r="G3" i="6"/>
  <c r="F3" i="6"/>
  <c r="E3" i="6"/>
  <c r="D3" i="6"/>
  <c r="C3" i="6"/>
  <c r="B3" i="6"/>
  <c r="U60" i="5"/>
  <c r="T60" i="5"/>
  <c r="S60" i="5"/>
  <c r="Q60" i="5"/>
  <c r="P60" i="5"/>
  <c r="O60" i="5"/>
  <c r="M60" i="5"/>
  <c r="L60" i="5"/>
  <c r="K60" i="5"/>
  <c r="I60" i="5"/>
  <c r="H60" i="5"/>
  <c r="E60" i="5"/>
  <c r="D60" i="5"/>
  <c r="C60" i="5"/>
  <c r="V55" i="5"/>
  <c r="V60" i="5" s="1"/>
  <c r="U55" i="5"/>
  <c r="T55" i="5"/>
  <c r="S55" i="5"/>
  <c r="R55" i="5"/>
  <c r="R60" i="5" s="1"/>
  <c r="Q55" i="5"/>
  <c r="P55" i="5"/>
  <c r="O55" i="5"/>
  <c r="N55" i="5"/>
  <c r="N60" i="5" s="1"/>
  <c r="M55" i="5"/>
  <c r="L55" i="5"/>
  <c r="K55" i="5"/>
  <c r="J55" i="5"/>
  <c r="J60" i="5" s="1"/>
  <c r="I55" i="5"/>
  <c r="H55" i="5"/>
  <c r="G55" i="5"/>
  <c r="G60" i="5" s="1"/>
  <c r="F55" i="5"/>
  <c r="F60" i="5" s="1"/>
  <c r="E55" i="5"/>
  <c r="D55" i="5"/>
  <c r="C55" i="5"/>
  <c r="B55" i="5"/>
  <c r="B60" i="5" s="1"/>
  <c r="V14" i="5"/>
  <c r="S14" i="5"/>
  <c r="R14" i="5"/>
  <c r="O14" i="5"/>
  <c r="N14" i="5"/>
  <c r="K14" i="5"/>
  <c r="J14" i="5"/>
  <c r="G14" i="5"/>
  <c r="F14" i="5"/>
  <c r="C14" i="5"/>
  <c r="B14" i="5"/>
  <c r="S13" i="5"/>
  <c r="O13" i="5"/>
  <c r="K13" i="5"/>
  <c r="G13" i="5"/>
  <c r="C13" i="5"/>
  <c r="D12" i="5"/>
  <c r="V11" i="5"/>
  <c r="U11" i="5"/>
  <c r="R11" i="5"/>
  <c r="Q11" i="5"/>
  <c r="N11" i="5"/>
  <c r="M11" i="5"/>
  <c r="J11" i="5"/>
  <c r="I11" i="5"/>
  <c r="F11" i="5"/>
  <c r="E11" i="5"/>
  <c r="B11" i="5"/>
  <c r="R8" i="5"/>
  <c r="B8" i="5"/>
  <c r="V7" i="5"/>
  <c r="U7" i="5"/>
  <c r="T7" i="5"/>
  <c r="S7" i="5"/>
  <c r="R7" i="5"/>
  <c r="Q7" i="5"/>
  <c r="P7" i="5"/>
  <c r="O7" i="5"/>
  <c r="N7" i="5"/>
  <c r="M7" i="5"/>
  <c r="L7" i="5"/>
  <c r="K7" i="5"/>
  <c r="J7" i="5"/>
  <c r="I7" i="5"/>
  <c r="H7" i="5"/>
  <c r="G7" i="5"/>
  <c r="F7" i="5"/>
  <c r="E7" i="5"/>
  <c r="D7" i="5"/>
  <c r="C7" i="5"/>
  <c r="B7" i="5"/>
  <c r="V3" i="5"/>
  <c r="U3" i="5"/>
  <c r="T3" i="5"/>
  <c r="S3" i="5"/>
  <c r="R3" i="5"/>
  <c r="Q3" i="5"/>
  <c r="P3" i="5"/>
  <c r="O3" i="5"/>
  <c r="N3" i="5"/>
  <c r="M3" i="5"/>
  <c r="L3" i="5"/>
  <c r="K3" i="5"/>
  <c r="J3" i="5"/>
  <c r="I3" i="5"/>
  <c r="H3" i="5"/>
  <c r="G3" i="5"/>
  <c r="F3" i="5"/>
  <c r="E3" i="5"/>
  <c r="D3" i="5"/>
  <c r="C3" i="5"/>
  <c r="B3" i="5"/>
  <c r="B31" i="4"/>
  <c r="D27" i="4"/>
  <c r="L23" i="4"/>
  <c r="V15" i="4"/>
  <c r="V31" i="4" s="1"/>
  <c r="N15" i="4"/>
  <c r="J15" i="4"/>
  <c r="B15" i="4"/>
  <c r="V12" i="4"/>
  <c r="U12" i="4"/>
  <c r="T12" i="4"/>
  <c r="S12" i="4"/>
  <c r="R12" i="4"/>
  <c r="Q12" i="4"/>
  <c r="P12" i="4"/>
  <c r="O12" i="4"/>
  <c r="N12" i="4"/>
  <c r="M12" i="4"/>
  <c r="L12" i="4"/>
  <c r="K12" i="4"/>
  <c r="J12" i="4"/>
  <c r="I12" i="4"/>
  <c r="H12" i="4"/>
  <c r="G12" i="4"/>
  <c r="F12" i="4"/>
  <c r="E12" i="4"/>
  <c r="D12" i="4"/>
  <c r="C12" i="4"/>
  <c r="B12" i="4"/>
  <c r="V11" i="4"/>
  <c r="V13" i="5" s="1"/>
  <c r="U11" i="4"/>
  <c r="U14" i="5" s="1"/>
  <c r="T11" i="4"/>
  <c r="S11" i="4"/>
  <c r="S12" i="5" s="1"/>
  <c r="R11" i="4"/>
  <c r="R13" i="5" s="1"/>
  <c r="Q11" i="4"/>
  <c r="Q14" i="5" s="1"/>
  <c r="P11" i="4"/>
  <c r="O11" i="4"/>
  <c r="O12" i="5" s="1"/>
  <c r="N11" i="4"/>
  <c r="N13" i="5" s="1"/>
  <c r="M11" i="4"/>
  <c r="M14" i="5" s="1"/>
  <c r="L11" i="4"/>
  <c r="K11" i="4"/>
  <c r="K12" i="5" s="1"/>
  <c r="J11" i="4"/>
  <c r="J13" i="5" s="1"/>
  <c r="I11" i="4"/>
  <c r="I14" i="5" s="1"/>
  <c r="H11" i="4"/>
  <c r="G11" i="4"/>
  <c r="G12" i="5" s="1"/>
  <c r="F11" i="4"/>
  <c r="F13" i="5" s="1"/>
  <c r="E11" i="4"/>
  <c r="E14" i="5" s="1"/>
  <c r="D11" i="4"/>
  <c r="C11" i="4"/>
  <c r="C12" i="5" s="1"/>
  <c r="B11" i="4"/>
  <c r="B13" i="5" s="1"/>
  <c r="V10" i="4"/>
  <c r="B10" i="4"/>
  <c r="V9" i="4"/>
  <c r="V8" i="5" s="1"/>
  <c r="R9" i="4"/>
  <c r="R10" i="4" s="1"/>
  <c r="R15" i="4" s="1"/>
  <c r="N9" i="4"/>
  <c r="N10" i="4" s="1"/>
  <c r="J9" i="4"/>
  <c r="J10" i="4" s="1"/>
  <c r="F9" i="4"/>
  <c r="F10" i="4" s="1"/>
  <c r="F15" i="4" s="1"/>
  <c r="B9" i="4"/>
  <c r="V8" i="4"/>
  <c r="V27" i="4" s="1"/>
  <c r="U8" i="4"/>
  <c r="T8" i="4"/>
  <c r="S8" i="4"/>
  <c r="R8" i="4"/>
  <c r="Q8" i="4"/>
  <c r="P8" i="4"/>
  <c r="O8" i="4"/>
  <c r="N8" i="4"/>
  <c r="M8" i="4"/>
  <c r="L8" i="4"/>
  <c r="K8" i="4"/>
  <c r="J8" i="4"/>
  <c r="J7" i="7" s="1"/>
  <c r="I8" i="4"/>
  <c r="H8" i="4"/>
  <c r="G8" i="4"/>
  <c r="F8" i="4"/>
  <c r="F32" i="6" s="1"/>
  <c r="E8" i="4"/>
  <c r="D8" i="4"/>
  <c r="C8" i="4"/>
  <c r="B8" i="4"/>
  <c r="B27" i="4" s="1"/>
  <c r="V7" i="4"/>
  <c r="U7" i="4"/>
  <c r="T7" i="4"/>
  <c r="S7" i="4"/>
  <c r="R7" i="4"/>
  <c r="Q7" i="4"/>
  <c r="P7" i="4"/>
  <c r="O7" i="4"/>
  <c r="N7" i="4"/>
  <c r="M7" i="4"/>
  <c r="L7" i="4"/>
  <c r="K7" i="4"/>
  <c r="J7" i="4"/>
  <c r="I7" i="4"/>
  <c r="H7" i="4"/>
  <c r="G7" i="4"/>
  <c r="F7" i="4"/>
  <c r="E7" i="4"/>
  <c r="D7" i="4"/>
  <c r="C7" i="4"/>
  <c r="B7" i="4"/>
  <c r="V3" i="4"/>
  <c r="U3" i="4"/>
  <c r="T3" i="4"/>
  <c r="S3" i="4"/>
  <c r="R3" i="4"/>
  <c r="Q3" i="4"/>
  <c r="P3" i="4"/>
  <c r="O3" i="4"/>
  <c r="N3" i="4"/>
  <c r="M3" i="4"/>
  <c r="L3" i="4"/>
  <c r="K3" i="4"/>
  <c r="J3" i="4"/>
  <c r="I3" i="4"/>
  <c r="H3" i="4"/>
  <c r="G3" i="4"/>
  <c r="F3" i="4"/>
  <c r="E3" i="4"/>
  <c r="D3" i="4"/>
  <c r="C3" i="4"/>
  <c r="B3" i="4"/>
  <c r="B17" i="3"/>
  <c r="T23" i="4" s="1"/>
  <c r="F16" i="3"/>
  <c r="E16" i="3"/>
  <c r="D16" i="3"/>
  <c r="C16" i="3"/>
  <c r="B16" i="3"/>
  <c r="H16" i="3" s="1"/>
  <c r="F15" i="3"/>
  <c r="E15" i="3"/>
  <c r="D15" i="3"/>
  <c r="H15" i="3" s="1"/>
  <c r="C15" i="3"/>
  <c r="B15" i="3"/>
  <c r="G15" i="3" s="1"/>
  <c r="H9" i="3"/>
  <c r="G9" i="3"/>
  <c r="E8" i="3"/>
  <c r="D8" i="3"/>
  <c r="B8" i="3"/>
  <c r="B10" i="3" s="1"/>
  <c r="H7" i="3"/>
  <c r="G7" i="3"/>
  <c r="H6" i="3"/>
  <c r="G6" i="3"/>
  <c r="B145" i="1"/>
  <c r="B139" i="1"/>
  <c r="B61" i="11" s="1"/>
  <c r="B133" i="1"/>
  <c r="B60" i="11" s="1"/>
  <c r="B73" i="1"/>
  <c r="R20" i="6" l="1"/>
  <c r="R22" i="10" s="1"/>
  <c r="R18" i="6"/>
  <c r="R13" i="10" s="1"/>
  <c r="R36" i="4"/>
  <c r="R19" i="6" s="1"/>
  <c r="R14" i="10" s="1"/>
  <c r="R30" i="4"/>
  <c r="R16" i="4"/>
  <c r="R33" i="4"/>
  <c r="R40" i="4" s="1"/>
  <c r="R17" i="4"/>
  <c r="R17" i="6" s="1"/>
  <c r="R12" i="10" s="1"/>
  <c r="R37" i="4"/>
  <c r="F20" i="6"/>
  <c r="F22" i="10" s="1"/>
  <c r="F36" i="4"/>
  <c r="F19" i="6" s="1"/>
  <c r="F14" i="10" s="1"/>
  <c r="F17" i="4"/>
  <c r="F17" i="6" s="1"/>
  <c r="F12" i="10" s="1"/>
  <c r="F18" i="6"/>
  <c r="F13" i="10" s="1"/>
  <c r="F38" i="4"/>
  <c r="F16" i="4"/>
  <c r="F31" i="4"/>
  <c r="N20" i="6"/>
  <c r="N22" i="10" s="1"/>
  <c r="N36" i="4"/>
  <c r="N19" i="6" s="1"/>
  <c r="N14" i="10" s="1"/>
  <c r="N18" i="6"/>
  <c r="N13" i="10" s="1"/>
  <c r="N17" i="4"/>
  <c r="N17" i="6" s="1"/>
  <c r="N12" i="10" s="1"/>
  <c r="N16" i="4"/>
  <c r="L8" i="5"/>
  <c r="F8" i="5"/>
  <c r="E10" i="3"/>
  <c r="D10" i="3"/>
  <c r="F17" i="3"/>
  <c r="J8" i="7"/>
  <c r="D11" i="5"/>
  <c r="D13" i="5"/>
  <c r="D14" i="5"/>
  <c r="H11" i="5"/>
  <c r="H14" i="5"/>
  <c r="H13" i="5"/>
  <c r="H12" i="5"/>
  <c r="L11" i="5"/>
  <c r="L13" i="5"/>
  <c r="L14" i="5"/>
  <c r="P11" i="5"/>
  <c r="P13" i="5"/>
  <c r="P14" i="5"/>
  <c r="P12" i="5"/>
  <c r="T11" i="5"/>
  <c r="T12" i="5"/>
  <c r="T14" i="5"/>
  <c r="T13" i="5"/>
  <c r="B20" i="6"/>
  <c r="B22" i="10" s="1"/>
  <c r="B18" i="6"/>
  <c r="B13" i="10" s="1"/>
  <c r="B36" i="4"/>
  <c r="B19" i="6" s="1"/>
  <c r="B14" i="10" s="1"/>
  <c r="B30" i="4"/>
  <c r="B37" i="4" s="1"/>
  <c r="B38" i="4"/>
  <c r="B16" i="4"/>
  <c r="B39" i="4"/>
  <c r="B33" i="4"/>
  <c r="B40" i="4" s="1"/>
  <c r="B17" i="4"/>
  <c r="B17" i="6" s="1"/>
  <c r="B12" i="10" s="1"/>
  <c r="B32" i="4"/>
  <c r="B26" i="4"/>
  <c r="B22" i="4"/>
  <c r="D23" i="4"/>
  <c r="E8" i="5"/>
  <c r="I8" i="5"/>
  <c r="U8" i="5"/>
  <c r="J8" i="5"/>
  <c r="L12" i="5"/>
  <c r="J20" i="6"/>
  <c r="J22" i="10" s="1"/>
  <c r="J18" i="6"/>
  <c r="J13" i="10" s="1"/>
  <c r="J36" i="4"/>
  <c r="J19" i="6" s="1"/>
  <c r="J14" i="10" s="1"/>
  <c r="J30" i="4"/>
  <c r="J16" i="4"/>
  <c r="J33" i="4"/>
  <c r="J40" i="4" s="1"/>
  <c r="J17" i="4"/>
  <c r="J17" i="6" s="1"/>
  <c r="J12" i="10" s="1"/>
  <c r="J37" i="4"/>
  <c r="C8" i="5"/>
  <c r="S8" i="5"/>
  <c r="B62" i="11"/>
  <c r="B147" i="1"/>
  <c r="B63" i="11" s="1"/>
  <c r="B8" i="11"/>
  <c r="B30" i="11"/>
  <c r="S23" i="4"/>
  <c r="O23" i="4"/>
  <c r="K23" i="4"/>
  <c r="G23" i="4"/>
  <c r="C23" i="4"/>
  <c r="B20" i="3"/>
  <c r="E17" i="3"/>
  <c r="U23" i="4"/>
  <c r="M23" i="4"/>
  <c r="E23" i="4"/>
  <c r="V23" i="4"/>
  <c r="R23" i="4"/>
  <c r="N23" i="4"/>
  <c r="J23" i="4"/>
  <c r="F23" i="4"/>
  <c r="B23" i="4"/>
  <c r="D17" i="3"/>
  <c r="Q23" i="4"/>
  <c r="I23" i="4"/>
  <c r="C17" i="3"/>
  <c r="G17" i="3" s="1"/>
  <c r="P23" i="4"/>
  <c r="B21" i="3"/>
  <c r="C13" i="8"/>
  <c r="C32" i="6"/>
  <c r="C7" i="7"/>
  <c r="C27" i="4"/>
  <c r="C10" i="4"/>
  <c r="C15" i="4" s="1"/>
  <c r="C9" i="4"/>
  <c r="G32" i="6"/>
  <c r="G7" i="7"/>
  <c r="G15" i="4"/>
  <c r="G9" i="4"/>
  <c r="G8" i="5" s="1"/>
  <c r="G10" i="4"/>
  <c r="K32" i="6"/>
  <c r="K7" i="7"/>
  <c r="K9" i="4"/>
  <c r="K8" i="5" s="1"/>
  <c r="O32" i="6"/>
  <c r="O7" i="7"/>
  <c r="O9" i="4"/>
  <c r="O8" i="5" s="1"/>
  <c r="S32" i="6"/>
  <c r="S7" i="7"/>
  <c r="S9" i="4"/>
  <c r="S10" i="4"/>
  <c r="S15" i="4"/>
  <c r="V20" i="6"/>
  <c r="V22" i="10" s="1"/>
  <c r="V36" i="4"/>
  <c r="V19" i="6" s="1"/>
  <c r="V14" i="10" s="1"/>
  <c r="V30" i="4"/>
  <c r="V37" i="4" s="1"/>
  <c r="V39" i="4"/>
  <c r="V33" i="4"/>
  <c r="V40" i="4" s="1"/>
  <c r="V17" i="4"/>
  <c r="V17" i="6" s="1"/>
  <c r="V12" i="10" s="1"/>
  <c r="V18" i="6"/>
  <c r="V13" i="10" s="1"/>
  <c r="V38" i="4"/>
  <c r="V19" i="5" s="1"/>
  <c r="V32" i="5" s="1"/>
  <c r="V32" i="4"/>
  <c r="V26" i="4"/>
  <c r="V16" i="4"/>
  <c r="H23" i="4"/>
  <c r="N8" i="5"/>
  <c r="D8" i="8"/>
  <c r="F17" i="10"/>
  <c r="F90" i="10" s="1"/>
  <c r="F103" i="10"/>
  <c r="N17" i="10"/>
  <c r="N90" i="10" s="1"/>
  <c r="N103" i="10"/>
  <c r="V17" i="10"/>
  <c r="V90" i="10" s="1"/>
  <c r="V103" i="10"/>
  <c r="B22" i="11"/>
  <c r="B10" i="11"/>
  <c r="V7" i="8"/>
  <c r="R7" i="8"/>
  <c r="N7" i="8"/>
  <c r="J7" i="8"/>
  <c r="F7" i="8"/>
  <c r="B7" i="8"/>
  <c r="B21" i="11" s="1"/>
  <c r="U7" i="8"/>
  <c r="Q7" i="8"/>
  <c r="M7" i="8"/>
  <c r="I7" i="8"/>
  <c r="E7" i="8"/>
  <c r="P7" i="8"/>
  <c r="H7" i="8"/>
  <c r="C26" i="6"/>
  <c r="O7" i="8"/>
  <c r="G7" i="8"/>
  <c r="B26" i="6"/>
  <c r="T7" i="8"/>
  <c r="L7" i="8"/>
  <c r="D7" i="8"/>
  <c r="D13" i="8"/>
  <c r="D7" i="7"/>
  <c r="D32" i="6"/>
  <c r="L7" i="7"/>
  <c r="P7" i="7"/>
  <c r="P32" i="6"/>
  <c r="E12" i="5"/>
  <c r="M12" i="5"/>
  <c r="U12" i="5"/>
  <c r="C103" i="10"/>
  <c r="C17" i="10"/>
  <c r="C90" i="10" s="1"/>
  <c r="K103" i="10"/>
  <c r="K17" i="10"/>
  <c r="K90" i="10" s="1"/>
  <c r="O103" i="10"/>
  <c r="O17" i="10"/>
  <c r="O90" i="10" s="1"/>
  <c r="B8" i="7"/>
  <c r="F8" i="3"/>
  <c r="F10" i="3" s="1"/>
  <c r="G16" i="3"/>
  <c r="E7" i="7"/>
  <c r="E32" i="6"/>
  <c r="I7" i="7"/>
  <c r="I32" i="6"/>
  <c r="M7" i="7"/>
  <c r="Q7" i="7"/>
  <c r="U7" i="7"/>
  <c r="U32" i="6"/>
  <c r="D9" i="4"/>
  <c r="D8" i="5" s="1"/>
  <c r="H9" i="4"/>
  <c r="H8" i="5" s="1"/>
  <c r="L9" i="4"/>
  <c r="P9" i="4"/>
  <c r="P8" i="5" s="1"/>
  <c r="T9" i="4"/>
  <c r="T8" i="5" s="1"/>
  <c r="D15" i="4"/>
  <c r="C11" i="5"/>
  <c r="G11" i="5"/>
  <c r="K11" i="5"/>
  <c r="O11" i="5"/>
  <c r="S11" i="5"/>
  <c r="B12" i="5"/>
  <c r="F12" i="5"/>
  <c r="J12" i="5"/>
  <c r="N12" i="5"/>
  <c r="R12" i="5"/>
  <c r="V12" i="5"/>
  <c r="E13" i="5"/>
  <c r="I13" i="5"/>
  <c r="M13" i="5"/>
  <c r="Q13" i="5"/>
  <c r="U13" i="5"/>
  <c r="Q32" i="6"/>
  <c r="D7" i="9"/>
  <c r="H9" i="9"/>
  <c r="H107" i="10" s="1"/>
  <c r="B103" i="10"/>
  <c r="B17" i="10"/>
  <c r="B90" i="10" s="1"/>
  <c r="J103" i="10"/>
  <c r="J17" i="10"/>
  <c r="J90" i="10" s="1"/>
  <c r="R103" i="10"/>
  <c r="R17" i="10"/>
  <c r="R90" i="10" s="1"/>
  <c r="H7" i="7"/>
  <c r="T7" i="7"/>
  <c r="T32" i="6"/>
  <c r="I12" i="5"/>
  <c r="Q12" i="5"/>
  <c r="G103" i="10"/>
  <c r="G17" i="10"/>
  <c r="G90" i="10" s="1"/>
  <c r="S103" i="10"/>
  <c r="S17" i="10"/>
  <c r="S90" i="10" s="1"/>
  <c r="M32" i="6"/>
  <c r="S7" i="8"/>
  <c r="C8" i="3"/>
  <c r="B13" i="8"/>
  <c r="F27" i="6"/>
  <c r="F7" i="7"/>
  <c r="J27" i="6"/>
  <c r="J32" i="6"/>
  <c r="N7" i="7"/>
  <c r="N32" i="6"/>
  <c r="R27" i="6"/>
  <c r="V13" i="8"/>
  <c r="V27" i="6"/>
  <c r="V7" i="7"/>
  <c r="E9" i="4"/>
  <c r="E10" i="4" s="1"/>
  <c r="I9" i="4"/>
  <c r="I10" i="4" s="1"/>
  <c r="I15" i="4" s="1"/>
  <c r="M9" i="4"/>
  <c r="M10" i="4" s="1"/>
  <c r="M15" i="4" s="1"/>
  <c r="Q9" i="4"/>
  <c r="Q10" i="4" s="1"/>
  <c r="U9" i="4"/>
  <c r="U10" i="4" s="1"/>
  <c r="D10" i="4"/>
  <c r="H10" i="4"/>
  <c r="H15" i="4" s="1"/>
  <c r="L10" i="4"/>
  <c r="L15" i="4" s="1"/>
  <c r="P10" i="4"/>
  <c r="P15" i="4" s="1"/>
  <c r="T10" i="4"/>
  <c r="T15" i="4" s="1"/>
  <c r="E15" i="4"/>
  <c r="Q15" i="4"/>
  <c r="U15" i="4"/>
  <c r="H32" i="6"/>
  <c r="R32" i="6"/>
  <c r="R7" i="7"/>
  <c r="C7" i="8"/>
  <c r="F108" i="10"/>
  <c r="F8" i="9"/>
  <c r="J108" i="10"/>
  <c r="J8" i="9"/>
  <c r="J9" i="9" s="1"/>
  <c r="J107" i="10" s="1"/>
  <c r="J12" i="8"/>
  <c r="J13" i="9"/>
  <c r="N108" i="10"/>
  <c r="N8" i="9"/>
  <c r="N9" i="9" s="1"/>
  <c r="N107" i="10" s="1"/>
  <c r="N12" i="8"/>
  <c r="R108" i="10"/>
  <c r="R8" i="9"/>
  <c r="R9" i="9" s="1"/>
  <c r="R107" i="10" s="1"/>
  <c r="R12" i="8"/>
  <c r="R13" i="9"/>
  <c r="V108" i="10"/>
  <c r="V8" i="9"/>
  <c r="V12" i="8"/>
  <c r="F13" i="9"/>
  <c r="V13" i="9"/>
  <c r="D103" i="10"/>
  <c r="D17" i="10"/>
  <c r="D90" i="10" s="1"/>
  <c r="H103" i="10"/>
  <c r="H17" i="10"/>
  <c r="H90" i="10" s="1"/>
  <c r="L103" i="10"/>
  <c r="L17" i="10"/>
  <c r="L90" i="10" s="1"/>
  <c r="P103" i="10"/>
  <c r="P17" i="10"/>
  <c r="P90" i="10" s="1"/>
  <c r="T103" i="10"/>
  <c r="T17" i="10"/>
  <c r="T90" i="10" s="1"/>
  <c r="G108" i="10"/>
  <c r="G13" i="9"/>
  <c r="K108" i="10"/>
  <c r="K13" i="9"/>
  <c r="K8" i="9"/>
  <c r="K12" i="8"/>
  <c r="O108" i="10"/>
  <c r="O13" i="9"/>
  <c r="S108" i="10"/>
  <c r="S13" i="9"/>
  <c r="S8" i="9"/>
  <c r="S12" i="8"/>
  <c r="F9" i="9"/>
  <c r="F107" i="10" s="1"/>
  <c r="V9" i="9"/>
  <c r="V107" i="10" s="1"/>
  <c r="F12" i="8"/>
  <c r="O12" i="8"/>
  <c r="O8" i="9"/>
  <c r="O9" i="9" s="1"/>
  <c r="O107" i="10" s="1"/>
  <c r="N13" i="9"/>
  <c r="H108" i="10"/>
  <c r="H8" i="9"/>
  <c r="H12" i="8"/>
  <c r="L108" i="10"/>
  <c r="L8" i="9"/>
  <c r="L9" i="9" s="1"/>
  <c r="L107" i="10" s="1"/>
  <c r="L12" i="8"/>
  <c r="P108" i="10"/>
  <c r="P8" i="9"/>
  <c r="P9" i="9" s="1"/>
  <c r="P107" i="10" s="1"/>
  <c r="P12" i="8"/>
  <c r="T108" i="10"/>
  <c r="T8" i="9"/>
  <c r="T9" i="9" s="1"/>
  <c r="T107" i="10" s="1"/>
  <c r="T12" i="8"/>
  <c r="E103" i="10"/>
  <c r="E17" i="10"/>
  <c r="E90" i="10" s="1"/>
  <c r="I103" i="10"/>
  <c r="I17" i="10"/>
  <c r="I90" i="10" s="1"/>
  <c r="M103" i="10"/>
  <c r="M17" i="10"/>
  <c r="M90" i="10" s="1"/>
  <c r="Q103" i="10"/>
  <c r="Q17" i="10"/>
  <c r="Q90" i="10" s="1"/>
  <c r="U103" i="10"/>
  <c r="U17" i="10"/>
  <c r="U90" i="10" s="1"/>
  <c r="E108" i="10"/>
  <c r="E13" i="9"/>
  <c r="I108" i="10"/>
  <c r="I13" i="9"/>
  <c r="M108" i="10"/>
  <c r="M13" i="9"/>
  <c r="Q108" i="10"/>
  <c r="Q13" i="9"/>
  <c r="U108" i="10"/>
  <c r="U13" i="9"/>
  <c r="E12" i="8"/>
  <c r="G9" i="9"/>
  <c r="G107" i="10" s="1"/>
  <c r="K9" i="9"/>
  <c r="K107" i="10" s="1"/>
  <c r="S9" i="9"/>
  <c r="S107" i="10" s="1"/>
  <c r="L13" i="9"/>
  <c r="T13" i="9"/>
  <c r="T18" i="6" l="1"/>
  <c r="T13" i="10" s="1"/>
  <c r="T16" i="4"/>
  <c r="T32" i="4" s="1"/>
  <c r="T39" i="4" s="1"/>
  <c r="T20" i="6"/>
  <c r="T22" i="10" s="1"/>
  <c r="T36" i="4"/>
  <c r="T19" i="6" s="1"/>
  <c r="T14" i="10" s="1"/>
  <c r="T17" i="4"/>
  <c r="T17" i="6" s="1"/>
  <c r="T12" i="10" s="1"/>
  <c r="T33" i="4"/>
  <c r="T40" i="4" s="1"/>
  <c r="B23" i="5"/>
  <c r="B42" i="5" s="1"/>
  <c r="L18" i="6"/>
  <c r="L13" i="10" s="1"/>
  <c r="L16" i="4"/>
  <c r="L32" i="4" s="1"/>
  <c r="L39" i="4" s="1"/>
  <c r="L20" i="6"/>
  <c r="L22" i="10" s="1"/>
  <c r="L36" i="4"/>
  <c r="L19" i="6" s="1"/>
  <c r="L14" i="10" s="1"/>
  <c r="L31" i="4"/>
  <c r="L38" i="4" s="1"/>
  <c r="L17" i="4"/>
  <c r="L17" i="6" s="1"/>
  <c r="L12" i="10" s="1"/>
  <c r="R23" i="5"/>
  <c r="R42" i="5" s="1"/>
  <c r="I20" i="6"/>
  <c r="I22" i="10" s="1"/>
  <c r="I18" i="6"/>
  <c r="I13" i="10" s="1"/>
  <c r="I36" i="4"/>
  <c r="I19" i="6" s="1"/>
  <c r="I14" i="10" s="1"/>
  <c r="I17" i="4"/>
  <c r="I17" i="6" s="1"/>
  <c r="I12" i="10" s="1"/>
  <c r="I16" i="4"/>
  <c r="V35" i="5"/>
  <c r="B58" i="5"/>
  <c r="B43" i="4"/>
  <c r="B41" i="4"/>
  <c r="B17" i="5"/>
  <c r="B27" i="5" s="1"/>
  <c r="P18" i="6"/>
  <c r="P13" i="10" s="1"/>
  <c r="P20" i="6"/>
  <c r="P22" i="10" s="1"/>
  <c r="P16" i="4"/>
  <c r="P30" i="4" s="1"/>
  <c r="P37" i="4" s="1"/>
  <c r="P36" i="4"/>
  <c r="P19" i="6" s="1"/>
  <c r="P14" i="10" s="1"/>
  <c r="P17" i="4"/>
  <c r="P17" i="6" s="1"/>
  <c r="P12" i="10" s="1"/>
  <c r="V18" i="5"/>
  <c r="V28" i="5" s="1"/>
  <c r="V58" i="5"/>
  <c r="V41" i="4"/>
  <c r="V17" i="5"/>
  <c r="V27" i="5" s="1"/>
  <c r="C18" i="6"/>
  <c r="C13" i="10" s="1"/>
  <c r="C33" i="4"/>
  <c r="C17" i="4"/>
  <c r="C17" i="6" s="1"/>
  <c r="C12" i="10" s="1"/>
  <c r="C37" i="4"/>
  <c r="C31" i="4"/>
  <c r="C20" i="6"/>
  <c r="C22" i="10" s="1"/>
  <c r="C38" i="4"/>
  <c r="C32" i="4"/>
  <c r="C39" i="4" s="1"/>
  <c r="C26" i="4"/>
  <c r="C16" i="4"/>
  <c r="C36" i="4"/>
  <c r="C19" i="6" s="1"/>
  <c r="C14" i="10" s="1"/>
  <c r="C30" i="4"/>
  <c r="C40" i="4"/>
  <c r="H18" i="6"/>
  <c r="H13" i="10" s="1"/>
  <c r="H20" i="6"/>
  <c r="H22" i="10" s="1"/>
  <c r="H32" i="4"/>
  <c r="H39" i="4" s="1"/>
  <c r="H16" i="4"/>
  <c r="H30" i="4"/>
  <c r="H37" i="4"/>
  <c r="H36" i="4"/>
  <c r="H19" i="6" s="1"/>
  <c r="H14" i="10" s="1"/>
  <c r="H17" i="4"/>
  <c r="H17" i="6" s="1"/>
  <c r="H12" i="10" s="1"/>
  <c r="H33" i="4"/>
  <c r="H40" i="4" s="1"/>
  <c r="M20" i="6"/>
  <c r="M22" i="10" s="1"/>
  <c r="M39" i="4"/>
  <c r="M33" i="4"/>
  <c r="M40" i="4" s="1"/>
  <c r="M17" i="4"/>
  <c r="M17" i="6" s="1"/>
  <c r="M12" i="10" s="1"/>
  <c r="M18" i="6"/>
  <c r="M13" i="10" s="1"/>
  <c r="M36" i="4"/>
  <c r="M19" i="6" s="1"/>
  <c r="M14" i="10" s="1"/>
  <c r="M32" i="4"/>
  <c r="M16" i="4"/>
  <c r="D19" i="5"/>
  <c r="D32" i="5" s="1"/>
  <c r="V23" i="5"/>
  <c r="R8" i="7"/>
  <c r="E20" i="6"/>
  <c r="E22" i="10" s="1"/>
  <c r="E37" i="4"/>
  <c r="E39" i="4"/>
  <c r="E33" i="4"/>
  <c r="E40" i="4" s="1"/>
  <c r="E17" i="4"/>
  <c r="E17" i="6" s="1"/>
  <c r="E12" i="10" s="1"/>
  <c r="E36" i="4"/>
  <c r="E19" i="6" s="1"/>
  <c r="E14" i="10" s="1"/>
  <c r="E30" i="4"/>
  <c r="E18" i="6"/>
  <c r="E13" i="10" s="1"/>
  <c r="E32" i="4"/>
  <c r="E16" i="4"/>
  <c r="V102" i="10"/>
  <c r="V104" i="10" s="1"/>
  <c r="V33" i="6"/>
  <c r="V34" i="6" s="1"/>
  <c r="V15" i="10" s="1"/>
  <c r="V89" i="10" s="1"/>
  <c r="V29" i="6"/>
  <c r="V45" i="6" s="1"/>
  <c r="H8" i="3"/>
  <c r="C10" i="3"/>
  <c r="D18" i="6"/>
  <c r="D13" i="10" s="1"/>
  <c r="D32" i="4"/>
  <c r="D39" i="4" s="1"/>
  <c r="D26" i="4"/>
  <c r="D16" i="4"/>
  <c r="D31" i="4"/>
  <c r="D38" i="4" s="1"/>
  <c r="D20" i="6"/>
  <c r="D22" i="10" s="1"/>
  <c r="D36" i="4"/>
  <c r="D19" i="6" s="1"/>
  <c r="D14" i="10" s="1"/>
  <c r="D30" i="4"/>
  <c r="D37" i="4" s="1"/>
  <c r="D17" i="5" s="1"/>
  <c r="D27" i="5" s="1"/>
  <c r="D17" i="4"/>
  <c r="D17" i="6" s="1"/>
  <c r="D12" i="10" s="1"/>
  <c r="D33" i="4"/>
  <c r="D40" i="4" s="1"/>
  <c r="U8" i="7"/>
  <c r="I8" i="7"/>
  <c r="D109" i="10"/>
  <c r="D14" i="9"/>
  <c r="V22" i="5"/>
  <c r="V38" i="5" s="1"/>
  <c r="G18" i="6"/>
  <c r="G13" i="10" s="1"/>
  <c r="G33" i="4"/>
  <c r="G17" i="4"/>
  <c r="G17" i="6" s="1"/>
  <c r="G12" i="10" s="1"/>
  <c r="G20" i="6"/>
  <c r="G22" i="10" s="1"/>
  <c r="G32" i="4"/>
  <c r="G39" i="4" s="1"/>
  <c r="G16" i="4"/>
  <c r="G31" i="4" s="1"/>
  <c r="G38" i="4" s="1"/>
  <c r="G40" i="4"/>
  <c r="G36" i="4"/>
  <c r="G19" i="6" s="1"/>
  <c r="G14" i="10" s="1"/>
  <c r="H17" i="3"/>
  <c r="E25" i="4"/>
  <c r="C21" i="5"/>
  <c r="C37" i="5" s="1"/>
  <c r="C23" i="5"/>
  <c r="C42" i="5" s="1"/>
  <c r="C19" i="5"/>
  <c r="C32" i="5" s="1"/>
  <c r="J23" i="5"/>
  <c r="J17" i="5"/>
  <c r="J27" i="5" s="1"/>
  <c r="V21" i="5"/>
  <c r="V37" i="5" s="1"/>
  <c r="R18" i="5"/>
  <c r="R28" i="5" s="1"/>
  <c r="Q20" i="6"/>
  <c r="Q22" i="10" s="1"/>
  <c r="Q31" i="4"/>
  <c r="Q38" i="4" s="1"/>
  <c r="Q18" i="6"/>
  <c r="Q13" i="10" s="1"/>
  <c r="Q36" i="4"/>
  <c r="Q19" i="6" s="1"/>
  <c r="Q14" i="10" s="1"/>
  <c r="Q33" i="4"/>
  <c r="Q40" i="4" s="1"/>
  <c r="Q17" i="4"/>
  <c r="Q17" i="6" s="1"/>
  <c r="Q12" i="10" s="1"/>
  <c r="Q16" i="4"/>
  <c r="Q32" i="4"/>
  <c r="Q39" i="4" s="1"/>
  <c r="N8" i="7"/>
  <c r="B109" i="10"/>
  <c r="B14" i="9"/>
  <c r="D9" i="9"/>
  <c r="D107" i="10" s="1"/>
  <c r="D110" i="10" s="1"/>
  <c r="S18" i="6"/>
  <c r="S13" i="10" s="1"/>
  <c r="S17" i="4"/>
  <c r="S17" i="6" s="1"/>
  <c r="S12" i="10" s="1"/>
  <c r="S20" i="6"/>
  <c r="S22" i="10" s="1"/>
  <c r="S16" i="4"/>
  <c r="S36" i="4"/>
  <c r="S19" i="6" s="1"/>
  <c r="S14" i="10" s="1"/>
  <c r="K8" i="7"/>
  <c r="N27" i="6"/>
  <c r="F8" i="7"/>
  <c r="B27" i="6"/>
  <c r="B33" i="6" s="1"/>
  <c r="B34" i="6" s="1"/>
  <c r="B15" i="10" s="1"/>
  <c r="B89" i="10" s="1"/>
  <c r="H8" i="7"/>
  <c r="Q8" i="7"/>
  <c r="P8" i="7"/>
  <c r="D108" i="10"/>
  <c r="D8" i="9"/>
  <c r="D12" i="8"/>
  <c r="D13" i="9"/>
  <c r="S8" i="7"/>
  <c r="O10" i="4"/>
  <c r="O15" i="4" s="1"/>
  <c r="O8" i="7"/>
  <c r="G8" i="7"/>
  <c r="C8" i="7"/>
  <c r="R17" i="5"/>
  <c r="R27" i="5" s="1"/>
  <c r="J18" i="4"/>
  <c r="Q8" i="5"/>
  <c r="N18" i="4"/>
  <c r="N31" i="4"/>
  <c r="N38" i="4" s="1"/>
  <c r="N33" i="4"/>
  <c r="N40" i="4" s="1"/>
  <c r="N30" i="4"/>
  <c r="N37" i="4" s="1"/>
  <c r="F32" i="4"/>
  <c r="F39" i="4" s="1"/>
  <c r="R18" i="4"/>
  <c r="R19" i="4" s="1"/>
  <c r="U20" i="6"/>
  <c r="U22" i="10" s="1"/>
  <c r="U17" i="4"/>
  <c r="U17" i="6" s="1"/>
  <c r="U12" i="10" s="1"/>
  <c r="U36" i="4"/>
  <c r="U19" i="6" s="1"/>
  <c r="U14" i="10" s="1"/>
  <c r="U18" i="6"/>
  <c r="U13" i="10" s="1"/>
  <c r="U16" i="4"/>
  <c r="M8" i="7"/>
  <c r="E8" i="7"/>
  <c r="B102" i="10"/>
  <c r="B104" i="10" s="1"/>
  <c r="B7" i="9"/>
  <c r="B8" i="8"/>
  <c r="B29" i="6"/>
  <c r="B45" i="6" s="1"/>
  <c r="V20" i="5"/>
  <c r="V33" i="5" s="1"/>
  <c r="V34" i="5" s="1"/>
  <c r="V8" i="6" s="1"/>
  <c r="C109" i="10"/>
  <c r="C14" i="9"/>
  <c r="B19" i="5"/>
  <c r="B32" i="5" s="1"/>
  <c r="V110" i="10"/>
  <c r="V109" i="10"/>
  <c r="V14" i="9"/>
  <c r="J102" i="10"/>
  <c r="J104" i="10" s="1"/>
  <c r="J33" i="6"/>
  <c r="J34" i="6" s="1"/>
  <c r="J15" i="10" s="1"/>
  <c r="J89" i="10" s="1"/>
  <c r="J29" i="6"/>
  <c r="J45" i="6" s="1"/>
  <c r="N19" i="5"/>
  <c r="N32" i="5" s="1"/>
  <c r="N17" i="5"/>
  <c r="N27" i="5" s="1"/>
  <c r="V18" i="4"/>
  <c r="V19" i="4" s="1"/>
  <c r="B24" i="4"/>
  <c r="B25" i="4"/>
  <c r="C25" i="4"/>
  <c r="C24" i="4"/>
  <c r="J18" i="5"/>
  <c r="J28" i="5" s="1"/>
  <c r="E23" i="5"/>
  <c r="E42" i="5" s="1"/>
  <c r="E21" i="5"/>
  <c r="E37" i="5" s="1"/>
  <c r="C22" i="4"/>
  <c r="D22" i="4" s="1"/>
  <c r="E22" i="4" s="1"/>
  <c r="V8" i="7"/>
  <c r="R102" i="10"/>
  <c r="R104" i="10" s="1"/>
  <c r="R33" i="6"/>
  <c r="R34" i="6" s="1"/>
  <c r="R15" i="10" s="1"/>
  <c r="R89" i="10" s="1"/>
  <c r="R29" i="6"/>
  <c r="R45" i="6" s="1"/>
  <c r="F102" i="10"/>
  <c r="F104" i="10" s="1"/>
  <c r="F33" i="6"/>
  <c r="F34" i="6" s="1"/>
  <c r="F15" i="10" s="1"/>
  <c r="F89" i="10" s="1"/>
  <c r="F29" i="6"/>
  <c r="F45" i="6" s="1"/>
  <c r="G8" i="3"/>
  <c r="T8" i="7"/>
  <c r="L8" i="7"/>
  <c r="D8" i="7"/>
  <c r="C7" i="9"/>
  <c r="C8" i="8"/>
  <c r="J31" i="4"/>
  <c r="J38" i="4" s="1"/>
  <c r="K10" i="4"/>
  <c r="K15" i="4" s="1"/>
  <c r="J32" i="4"/>
  <c r="J39" i="4" s="1"/>
  <c r="M8" i="5"/>
  <c r="D25" i="4"/>
  <c r="D24" i="4"/>
  <c r="B18" i="4"/>
  <c r="B19" i="4" s="1"/>
  <c r="F19" i="5"/>
  <c r="F32" i="5" s="1"/>
  <c r="F17" i="5"/>
  <c r="F27" i="5" s="1"/>
  <c r="F21" i="5"/>
  <c r="F37" i="5" s="1"/>
  <c r="N32" i="4"/>
  <c r="N39" i="4" s="1"/>
  <c r="B21" i="5"/>
  <c r="B37" i="5" s="1"/>
  <c r="F18" i="4"/>
  <c r="F19" i="4" s="1"/>
  <c r="F33" i="4"/>
  <c r="F40" i="4" s="1"/>
  <c r="F30" i="4"/>
  <c r="F37" i="4" s="1"/>
  <c r="R31" i="4"/>
  <c r="R38" i="4" s="1"/>
  <c r="R32" i="4"/>
  <c r="R39" i="4" s="1"/>
  <c r="G20" i="5" l="1"/>
  <c r="G33" i="5" s="1"/>
  <c r="G19" i="5"/>
  <c r="G32" i="5" s="1"/>
  <c r="D30" i="5"/>
  <c r="H21" i="5"/>
  <c r="H37" i="5" s="1"/>
  <c r="L20" i="5"/>
  <c r="L33" i="5" s="1"/>
  <c r="F23" i="5"/>
  <c r="F42" i="5" s="1"/>
  <c r="R22" i="5"/>
  <c r="R38" i="5" s="1"/>
  <c r="R21" i="5"/>
  <c r="R37" i="5" s="1"/>
  <c r="F40" i="5"/>
  <c r="M23" i="5"/>
  <c r="M42" i="5" s="1"/>
  <c r="M21" i="5"/>
  <c r="M37" i="5" s="1"/>
  <c r="J20" i="5"/>
  <c r="J33" i="5" s="1"/>
  <c r="J19" i="5"/>
  <c r="J32" i="5" s="1"/>
  <c r="E40" i="5"/>
  <c r="N21" i="5"/>
  <c r="N37" i="5" s="1"/>
  <c r="R19" i="5"/>
  <c r="R32" i="5" s="1"/>
  <c r="R41" i="4"/>
  <c r="F16" i="6"/>
  <c r="F30" i="5"/>
  <c r="B16" i="6"/>
  <c r="K18" i="6"/>
  <c r="K13" i="10" s="1"/>
  <c r="K17" i="4"/>
  <c r="K17" i="6" s="1"/>
  <c r="K12" i="10" s="1"/>
  <c r="K16" i="4"/>
  <c r="K31" i="4" s="1"/>
  <c r="K38" i="4" s="1"/>
  <c r="K20" i="6"/>
  <c r="K22" i="10" s="1"/>
  <c r="K36" i="4"/>
  <c r="K19" i="6" s="1"/>
  <c r="K14" i="10" s="1"/>
  <c r="J58" i="5"/>
  <c r="N48" i="5"/>
  <c r="N29" i="5"/>
  <c r="N30" i="5"/>
  <c r="U31" i="4"/>
  <c r="U38" i="4" s="1"/>
  <c r="N24" i="5"/>
  <c r="N43" i="5" s="1"/>
  <c r="Q21" i="5"/>
  <c r="Q37" i="5" s="1"/>
  <c r="Q23" i="5"/>
  <c r="Q42" i="5" s="1"/>
  <c r="Q19" i="5"/>
  <c r="Q32" i="5" s="1"/>
  <c r="S16" i="6"/>
  <c r="S18" i="4"/>
  <c r="S19" i="4" s="1"/>
  <c r="S27" i="6"/>
  <c r="S31" i="4"/>
  <c r="S38" i="4" s="1"/>
  <c r="J29" i="5"/>
  <c r="J30" i="5"/>
  <c r="C45" i="5"/>
  <c r="G23" i="5"/>
  <c r="G42" i="5" s="1"/>
  <c r="E41" i="4"/>
  <c r="V42" i="5"/>
  <c r="V24" i="5"/>
  <c r="V43" i="5" s="1"/>
  <c r="C18" i="4"/>
  <c r="C19" i="4" s="1"/>
  <c r="C27" i="6"/>
  <c r="F18" i="5"/>
  <c r="F28" i="5" s="1"/>
  <c r="F58" i="5"/>
  <c r="F41" i="4"/>
  <c r="B40" i="5"/>
  <c r="B39" i="5"/>
  <c r="B9" i="6" s="1"/>
  <c r="F35" i="5"/>
  <c r="C108" i="10"/>
  <c r="C13" i="9"/>
  <c r="C8" i="9"/>
  <c r="C12" i="8"/>
  <c r="F22" i="4"/>
  <c r="E24" i="4"/>
  <c r="E45" i="5"/>
  <c r="N34" i="5"/>
  <c r="N8" i="6" s="1"/>
  <c r="N35" i="5"/>
  <c r="B35" i="5"/>
  <c r="B108" i="10"/>
  <c r="B8" i="9"/>
  <c r="B9" i="9" s="1"/>
  <c r="B13" i="9"/>
  <c r="B12" i="8"/>
  <c r="B14" i="8" s="1"/>
  <c r="U18" i="4"/>
  <c r="U19" i="4" s="1"/>
  <c r="U27" i="6"/>
  <c r="U30" i="4"/>
  <c r="U37" i="4" s="1"/>
  <c r="U33" i="4"/>
  <c r="U40" i="4" s="1"/>
  <c r="R16" i="6"/>
  <c r="N20" i="5"/>
  <c r="N33" i="5" s="1"/>
  <c r="J19" i="4"/>
  <c r="J16" i="6"/>
  <c r="R48" i="5"/>
  <c r="R29" i="5"/>
  <c r="R30" i="5"/>
  <c r="S32" i="4"/>
  <c r="S39" i="4" s="1"/>
  <c r="Q20" i="5"/>
  <c r="Q33" i="5" s="1"/>
  <c r="R58" i="5"/>
  <c r="L19" i="5"/>
  <c r="L32" i="5" s="1"/>
  <c r="J21" i="5"/>
  <c r="J37" i="5" s="1"/>
  <c r="J48" i="5" s="1"/>
  <c r="C40" i="5"/>
  <c r="G21" i="5"/>
  <c r="G37" i="5" s="1"/>
  <c r="D24" i="5"/>
  <c r="D43" i="5" s="1"/>
  <c r="D23" i="5"/>
  <c r="D42" i="5" s="1"/>
  <c r="G10" i="3"/>
  <c r="H10" i="3"/>
  <c r="D35" i="5"/>
  <c r="H23" i="5"/>
  <c r="H42" i="5" s="1"/>
  <c r="H17" i="5"/>
  <c r="H27" i="5" s="1"/>
  <c r="V49" i="5"/>
  <c r="P17" i="5"/>
  <c r="P27" i="5" s="1"/>
  <c r="C9" i="9"/>
  <c r="C107" i="10" s="1"/>
  <c r="E17" i="5"/>
  <c r="E27" i="5" s="1"/>
  <c r="J41" i="4"/>
  <c r="V16" i="6"/>
  <c r="N23" i="5"/>
  <c r="N42" i="5" s="1"/>
  <c r="F22" i="5"/>
  <c r="F38" i="5" s="1"/>
  <c r="F39" i="5" s="1"/>
  <c r="F9" i="6" s="1"/>
  <c r="N19" i="4"/>
  <c r="N16" i="6"/>
  <c r="N102" i="10"/>
  <c r="N104" i="10" s="1"/>
  <c r="N33" i="6"/>
  <c r="N34" i="6" s="1"/>
  <c r="N15" i="10" s="1"/>
  <c r="N89" i="10" s="1"/>
  <c r="N29" i="6"/>
  <c r="N45" i="6" s="1"/>
  <c r="S30" i="4"/>
  <c r="S37" i="4" s="1"/>
  <c r="S33" i="4"/>
  <c r="S40" i="4" s="1"/>
  <c r="Q18" i="4"/>
  <c r="Q19" i="4" s="1"/>
  <c r="Q27" i="6"/>
  <c r="Q30" i="4"/>
  <c r="Q37" i="4" s="1"/>
  <c r="Q17" i="5" s="1"/>
  <c r="Q27" i="5" s="1"/>
  <c r="F20" i="5"/>
  <c r="F33" i="5" s="1"/>
  <c r="F34" i="5" s="1"/>
  <c r="F8" i="6" s="1"/>
  <c r="J42" i="5"/>
  <c r="J24" i="5"/>
  <c r="J43" i="5" s="1"/>
  <c r="G30" i="4"/>
  <c r="G37" i="4" s="1"/>
  <c r="D21" i="5"/>
  <c r="D37" i="5" s="1"/>
  <c r="D48" i="5" s="1"/>
  <c r="E24" i="5"/>
  <c r="E43" i="5" s="1"/>
  <c r="E44" i="5" s="1"/>
  <c r="E10" i="6" s="1"/>
  <c r="M22" i="5"/>
  <c r="M38" i="5" s="1"/>
  <c r="C22" i="5"/>
  <c r="C38" i="5" s="1"/>
  <c r="C39" i="5" s="1"/>
  <c r="C9" i="6" s="1"/>
  <c r="C58" i="5"/>
  <c r="C41" i="4"/>
  <c r="C17" i="5"/>
  <c r="C27" i="5" s="1"/>
  <c r="T24" i="5"/>
  <c r="T43" i="5" s="1"/>
  <c r="T23" i="5"/>
  <c r="T42" i="5" s="1"/>
  <c r="T21" i="5"/>
  <c r="T37" i="5" s="1"/>
  <c r="B47" i="10"/>
  <c r="U32" i="4"/>
  <c r="U39" i="4" s="1"/>
  <c r="N58" i="5"/>
  <c r="N18" i="5"/>
  <c r="N28" i="5" s="1"/>
  <c r="N41" i="4"/>
  <c r="B22" i="5"/>
  <c r="B38" i="5" s="1"/>
  <c r="B20" i="5"/>
  <c r="B33" i="5" s="1"/>
  <c r="B34" i="5" s="1"/>
  <c r="B8" i="6" s="1"/>
  <c r="C35" i="5"/>
  <c r="G16" i="6"/>
  <c r="G18" i="4"/>
  <c r="G19" i="4" s="1"/>
  <c r="G27" i="6"/>
  <c r="D58" i="5"/>
  <c r="D18" i="5"/>
  <c r="D28" i="5" s="1"/>
  <c r="D41" i="4"/>
  <c r="D20" i="5"/>
  <c r="D33" i="5" s="1"/>
  <c r="D34" i="5" s="1"/>
  <c r="D8" i="6" s="1"/>
  <c r="E22" i="5"/>
  <c r="E38" i="5" s="1"/>
  <c r="E39" i="5" s="1"/>
  <c r="E9" i="6" s="1"/>
  <c r="C20" i="5"/>
  <c r="C33" i="5" s="1"/>
  <c r="C34" i="5" s="1"/>
  <c r="C8" i="6" s="1"/>
  <c r="L21" i="5"/>
  <c r="L37" i="5" s="1"/>
  <c r="O18" i="6"/>
  <c r="O13" i="10" s="1"/>
  <c r="O17" i="4"/>
  <c r="O17" i="6" s="1"/>
  <c r="O12" i="10" s="1"/>
  <c r="O20" i="6"/>
  <c r="O22" i="10" s="1"/>
  <c r="O16" i="4"/>
  <c r="O32" i="4" s="1"/>
  <c r="O39" i="4" s="1"/>
  <c r="O36" i="4"/>
  <c r="O19" i="6" s="1"/>
  <c r="O14" i="10" s="1"/>
  <c r="V40" i="5"/>
  <c r="V39" i="5"/>
  <c r="V9" i="6" s="1"/>
  <c r="D16" i="6"/>
  <c r="D18" i="4"/>
  <c r="D19" i="4" s="1"/>
  <c r="D27" i="6"/>
  <c r="E18" i="4"/>
  <c r="E19" i="4" s="1"/>
  <c r="E27" i="6"/>
  <c r="E31" i="4"/>
  <c r="E38" i="4" s="1"/>
  <c r="M16" i="6"/>
  <c r="M27" i="6"/>
  <c r="M18" i="4"/>
  <c r="M19" i="4" s="1"/>
  <c r="M30" i="4"/>
  <c r="M37" i="4" s="1"/>
  <c r="M31" i="4"/>
  <c r="M38" i="4" s="1"/>
  <c r="M19" i="5" s="1"/>
  <c r="M32" i="5" s="1"/>
  <c r="H31" i="4"/>
  <c r="H38" i="4" s="1"/>
  <c r="H41" i="4" s="1"/>
  <c r="H18" i="4"/>
  <c r="H19" i="4" s="1"/>
  <c r="H27" i="6"/>
  <c r="V64" i="5"/>
  <c r="P33" i="4"/>
  <c r="P40" i="4" s="1"/>
  <c r="C43" i="4"/>
  <c r="D43" i="4" s="1"/>
  <c r="E43" i="4" s="1"/>
  <c r="F43" i="4" s="1"/>
  <c r="G43" i="4" s="1"/>
  <c r="H43" i="4" s="1"/>
  <c r="I16" i="6"/>
  <c r="I18" i="4"/>
  <c r="I19" i="4" s="1"/>
  <c r="I27" i="6"/>
  <c r="L33" i="4"/>
  <c r="L40" i="4" s="1"/>
  <c r="T31" i="4"/>
  <c r="T38" i="4" s="1"/>
  <c r="P32" i="4"/>
  <c r="P39" i="4" s="1"/>
  <c r="B18" i="5"/>
  <c r="B28" i="5" s="1"/>
  <c r="I30" i="4"/>
  <c r="I37" i="4" s="1"/>
  <c r="V48" i="5"/>
  <c r="V29" i="5"/>
  <c r="V30" i="5"/>
  <c r="P31" i="4"/>
  <c r="P38" i="4" s="1"/>
  <c r="P58" i="5" s="1"/>
  <c r="B48" i="5"/>
  <c r="B30" i="5"/>
  <c r="B64" i="5"/>
  <c r="I31" i="4"/>
  <c r="I38" i="4" s="1"/>
  <c r="R45" i="5"/>
  <c r="R44" i="5"/>
  <c r="R10" i="6" s="1"/>
  <c r="L16" i="6"/>
  <c r="L27" i="6"/>
  <c r="L18" i="4"/>
  <c r="L19" i="4" s="1"/>
  <c r="B45" i="5"/>
  <c r="T18" i="4"/>
  <c r="T19" i="4" s="1"/>
  <c r="T27" i="6"/>
  <c r="C24" i="5"/>
  <c r="C43" i="5" s="1"/>
  <c r="C44" i="5" s="1"/>
  <c r="C10" i="6" s="1"/>
  <c r="P18" i="4"/>
  <c r="P19" i="4" s="1"/>
  <c r="P16" i="6"/>
  <c r="P27" i="6"/>
  <c r="I32" i="4"/>
  <c r="I39" i="4" s="1"/>
  <c r="I33" i="4"/>
  <c r="I40" i="4" s="1"/>
  <c r="R24" i="5"/>
  <c r="R43" i="5" s="1"/>
  <c r="L30" i="4"/>
  <c r="L37" i="4" s="1"/>
  <c r="B24" i="5"/>
  <c r="B43" i="5" s="1"/>
  <c r="B44" i="5" s="1"/>
  <c r="B10" i="6" s="1"/>
  <c r="T30" i="4"/>
  <c r="T37" i="4" s="1"/>
  <c r="M35" i="5" l="1"/>
  <c r="K20" i="5"/>
  <c r="K33" i="5" s="1"/>
  <c r="K19" i="5"/>
  <c r="K32" i="5" s="1"/>
  <c r="O22" i="5"/>
  <c r="O38" i="5" s="1"/>
  <c r="O21" i="5"/>
  <c r="O37" i="5" s="1"/>
  <c r="Q48" i="5"/>
  <c r="Q30" i="5"/>
  <c r="B107" i="10"/>
  <c r="B110" i="10" s="1"/>
  <c r="B62" i="10"/>
  <c r="G11" i="10"/>
  <c r="G21" i="6"/>
  <c r="G12" i="7" s="1"/>
  <c r="U22" i="5"/>
  <c r="U38" i="5" s="1"/>
  <c r="U21" i="5"/>
  <c r="U37" i="5" s="1"/>
  <c r="T44" i="5"/>
  <c r="T10" i="6" s="1"/>
  <c r="T45" i="5"/>
  <c r="C18" i="5"/>
  <c r="C28" i="5" s="1"/>
  <c r="C49" i="5" s="1"/>
  <c r="Q102" i="10"/>
  <c r="Q104" i="10" s="1"/>
  <c r="Q33" i="6"/>
  <c r="Q34" i="6" s="1"/>
  <c r="Q15" i="10" s="1"/>
  <c r="Q89" i="10" s="1"/>
  <c r="Q29" i="6"/>
  <c r="Q45" i="6" s="1"/>
  <c r="S58" i="5"/>
  <c r="S41" i="4"/>
  <c r="S17" i="5"/>
  <c r="S27" i="5" s="1"/>
  <c r="N11" i="10"/>
  <c r="N21" i="6"/>
  <c r="N12" i="7" s="1"/>
  <c r="N45" i="5"/>
  <c r="N44" i="5"/>
  <c r="N10" i="6" s="1"/>
  <c r="C110" i="10"/>
  <c r="D44" i="5"/>
  <c r="D10" i="6" s="1"/>
  <c r="D45" i="5"/>
  <c r="R7" i="6"/>
  <c r="U102" i="10"/>
  <c r="U104" i="10" s="1"/>
  <c r="U33" i="6"/>
  <c r="U34" i="6" s="1"/>
  <c r="U15" i="10" s="1"/>
  <c r="U89" i="10" s="1"/>
  <c r="U29" i="6"/>
  <c r="U45" i="6" s="1"/>
  <c r="C16" i="6"/>
  <c r="E18" i="5"/>
  <c r="E28" i="5" s="1"/>
  <c r="K30" i="4"/>
  <c r="K37" i="4" s="1"/>
  <c r="K33" i="4"/>
  <c r="K40" i="4" s="1"/>
  <c r="B11" i="10"/>
  <c r="B21" i="6"/>
  <c r="B12" i="7" s="1"/>
  <c r="F11" i="10"/>
  <c r="F21" i="6"/>
  <c r="F12" i="7" s="1"/>
  <c r="N40" i="5"/>
  <c r="N51" i="5" s="1"/>
  <c r="N59" i="5" s="1"/>
  <c r="N61" i="5" s="1"/>
  <c r="J34" i="5"/>
  <c r="J8" i="6" s="1"/>
  <c r="J35" i="5"/>
  <c r="J51" i="5" s="1"/>
  <c r="J59" i="5" s="1"/>
  <c r="J61" i="5" s="1"/>
  <c r="R40" i="5"/>
  <c r="R39" i="5"/>
  <c r="R9" i="6" s="1"/>
  <c r="F24" i="5"/>
  <c r="F43" i="5" s="1"/>
  <c r="D51" i="5"/>
  <c r="D59" i="5" s="1"/>
  <c r="M24" i="5"/>
  <c r="M43" i="5" s="1"/>
  <c r="M44" i="5" s="1"/>
  <c r="M10" i="6" s="1"/>
  <c r="G35" i="5"/>
  <c r="G34" i="5"/>
  <c r="G8" i="6" s="1"/>
  <c r="I22" i="5"/>
  <c r="I38" i="5" s="1"/>
  <c r="I21" i="5"/>
  <c r="I37" i="5" s="1"/>
  <c r="I11" i="10"/>
  <c r="I21" i="6"/>
  <c r="I12" i="7" s="1"/>
  <c r="H20" i="5"/>
  <c r="H33" i="5" s="1"/>
  <c r="H19" i="5"/>
  <c r="H32" i="5" s="1"/>
  <c r="P102" i="10"/>
  <c r="P104" i="10" s="1"/>
  <c r="P29" i="6"/>
  <c r="P45" i="6" s="1"/>
  <c r="P33" i="6"/>
  <c r="P34" i="6" s="1"/>
  <c r="P15" i="10" s="1"/>
  <c r="P89" i="10" s="1"/>
  <c r="P20" i="5"/>
  <c r="P33" i="5" s="1"/>
  <c r="P19" i="5"/>
  <c r="P32" i="5" s="1"/>
  <c r="L24" i="5"/>
  <c r="L43" i="5" s="1"/>
  <c r="L23" i="5"/>
  <c r="L42" i="5" s="1"/>
  <c r="M20" i="5"/>
  <c r="M33" i="5" s="1"/>
  <c r="M34" i="5" s="1"/>
  <c r="M8" i="6" s="1"/>
  <c r="C64" i="5"/>
  <c r="J45" i="5"/>
  <c r="J44" i="5"/>
  <c r="J10" i="6" s="1"/>
  <c r="P30" i="5"/>
  <c r="H58" i="5"/>
  <c r="F49" i="5"/>
  <c r="Q40" i="5"/>
  <c r="F51" i="5"/>
  <c r="F59" i="5" s="1"/>
  <c r="F61" i="5" s="1"/>
  <c r="M45" i="5"/>
  <c r="D29" i="5"/>
  <c r="P11" i="10"/>
  <c r="P21" i="6"/>
  <c r="P12" i="7" s="1"/>
  <c r="V51" i="5"/>
  <c r="V59" i="5" s="1"/>
  <c r="V61" i="5" s="1"/>
  <c r="I102" i="10"/>
  <c r="I104" i="10" s="1"/>
  <c r="I33" i="6"/>
  <c r="I34" i="6" s="1"/>
  <c r="I15" i="10" s="1"/>
  <c r="I89" i="10" s="1"/>
  <c r="I29" i="6"/>
  <c r="I45" i="6" s="1"/>
  <c r="M41" i="4"/>
  <c r="M58" i="5"/>
  <c r="D33" i="6"/>
  <c r="D34" i="6" s="1"/>
  <c r="D15" i="10" s="1"/>
  <c r="D89" i="10" s="1"/>
  <c r="D29" i="6"/>
  <c r="D45" i="6" s="1"/>
  <c r="D102" i="10"/>
  <c r="D104" i="10" s="1"/>
  <c r="L40" i="5"/>
  <c r="T40" i="5"/>
  <c r="H30" i="5"/>
  <c r="H45" i="5"/>
  <c r="G40" i="5"/>
  <c r="S21" i="5"/>
  <c r="S37" i="5" s="1"/>
  <c r="J11" i="10"/>
  <c r="J21" i="6"/>
  <c r="J12" i="7" s="1"/>
  <c r="U23" i="5"/>
  <c r="U42" i="5" s="1"/>
  <c r="U16" i="6"/>
  <c r="G22" i="4"/>
  <c r="F25" i="4"/>
  <c r="F24" i="4"/>
  <c r="C33" i="6"/>
  <c r="C34" i="6" s="1"/>
  <c r="C29" i="6"/>
  <c r="C45" i="6" s="1"/>
  <c r="C102" i="10"/>
  <c r="C104" i="10" s="1"/>
  <c r="V45" i="5"/>
  <c r="V44" i="5"/>
  <c r="V10" i="6" s="1"/>
  <c r="G45" i="5"/>
  <c r="S19" i="5"/>
  <c r="S32" i="5" s="1"/>
  <c r="Q35" i="5"/>
  <c r="Q34" i="5"/>
  <c r="Q8" i="6" s="1"/>
  <c r="F29" i="5"/>
  <c r="R35" i="5"/>
  <c r="M17" i="5"/>
  <c r="M27" i="5" s="1"/>
  <c r="F45" i="5"/>
  <c r="F44" i="5"/>
  <c r="F10" i="6" s="1"/>
  <c r="H40" i="5"/>
  <c r="L11" i="10"/>
  <c r="L21" i="6"/>
  <c r="L12" i="7" s="1"/>
  <c r="T19" i="5"/>
  <c r="T32" i="5" s="1"/>
  <c r="M102" i="10"/>
  <c r="M104" i="10" s="1"/>
  <c r="M33" i="6"/>
  <c r="M34" i="6" s="1"/>
  <c r="M15" i="10" s="1"/>
  <c r="M89" i="10" s="1"/>
  <c r="M29" i="6"/>
  <c r="M45" i="6" s="1"/>
  <c r="D11" i="10"/>
  <c r="D21" i="6"/>
  <c r="D12" i="7" s="1"/>
  <c r="O16" i="6"/>
  <c r="O18" i="4"/>
  <c r="O19" i="4" s="1"/>
  <c r="O27" i="6"/>
  <c r="L58" i="5"/>
  <c r="L18" i="5"/>
  <c r="L28" i="5" s="1"/>
  <c r="L49" i="5" s="1"/>
  <c r="L41" i="4"/>
  <c r="L17" i="5"/>
  <c r="L27" i="5" s="1"/>
  <c r="T102" i="10"/>
  <c r="T104" i="10" s="1"/>
  <c r="T29" i="6"/>
  <c r="T45" i="6" s="1"/>
  <c r="T33" i="6"/>
  <c r="T34" i="6" s="1"/>
  <c r="T15" i="10" s="1"/>
  <c r="T89" i="10" s="1"/>
  <c r="I41" i="4"/>
  <c r="I58" i="5"/>
  <c r="I17" i="5"/>
  <c r="I27" i="5" s="1"/>
  <c r="I43" i="4"/>
  <c r="J43" i="4" s="1"/>
  <c r="K43" i="4" s="1"/>
  <c r="L43" i="4" s="1"/>
  <c r="M43" i="4" s="1"/>
  <c r="N43" i="4" s="1"/>
  <c r="O43" i="4" s="1"/>
  <c r="P43" i="4" s="1"/>
  <c r="Q43" i="4" s="1"/>
  <c r="R43" i="4" s="1"/>
  <c r="S43" i="4" s="1"/>
  <c r="T43" i="4" s="1"/>
  <c r="U43" i="4" s="1"/>
  <c r="V43" i="4" s="1"/>
  <c r="H102" i="10"/>
  <c r="H104" i="10" s="1"/>
  <c r="H29" i="6"/>
  <c r="H45" i="6" s="1"/>
  <c r="H33" i="6"/>
  <c r="H34" i="6" s="1"/>
  <c r="H15" i="10" s="1"/>
  <c r="H89" i="10" s="1"/>
  <c r="M11" i="10"/>
  <c r="M21" i="6"/>
  <c r="M12" i="7" s="1"/>
  <c r="E16" i="6"/>
  <c r="O30" i="4"/>
  <c r="O37" i="4" s="1"/>
  <c r="D61" i="5"/>
  <c r="D64" i="5"/>
  <c r="B49" i="10"/>
  <c r="B51" i="10" s="1"/>
  <c r="C47" i="10"/>
  <c r="D40" i="5"/>
  <c r="V11" i="10"/>
  <c r="V21" i="6"/>
  <c r="V12" i="7" s="1"/>
  <c r="R11" i="10"/>
  <c r="R21" i="6"/>
  <c r="R12" i="7" s="1"/>
  <c r="E27" i="4"/>
  <c r="E26" i="4"/>
  <c r="S11" i="10"/>
  <c r="S21" i="6"/>
  <c r="S12" i="7" s="1"/>
  <c r="N7" i="6"/>
  <c r="K16" i="6"/>
  <c r="K18" i="4"/>
  <c r="K19" i="4" s="1"/>
  <c r="K27" i="6"/>
  <c r="B51" i="5"/>
  <c r="B49" i="5"/>
  <c r="P23" i="5"/>
  <c r="P42" i="5" s="1"/>
  <c r="E19" i="5"/>
  <c r="E32" i="5" s="1"/>
  <c r="G102" i="10"/>
  <c r="G104" i="10" s="1"/>
  <c r="G29" i="6"/>
  <c r="G45" i="6" s="1"/>
  <c r="G33" i="6"/>
  <c r="G34" i="6" s="1"/>
  <c r="G15" i="10" s="1"/>
  <c r="G89" i="10" s="1"/>
  <c r="C48" i="5"/>
  <c r="C30" i="5"/>
  <c r="C51" i="5" s="1"/>
  <c r="C59" i="5" s="1"/>
  <c r="C61" i="5" s="1"/>
  <c r="C29" i="5"/>
  <c r="D22" i="5"/>
  <c r="D38" i="5" s="1"/>
  <c r="D49" i="5" s="1"/>
  <c r="Q16" i="6"/>
  <c r="P18" i="5"/>
  <c r="P28" i="5" s="1"/>
  <c r="P29" i="5" s="1"/>
  <c r="J40" i="5"/>
  <c r="T58" i="5"/>
  <c r="T18" i="5"/>
  <c r="T28" i="5" s="1"/>
  <c r="T41" i="4"/>
  <c r="T17" i="5"/>
  <c r="T27" i="5" s="1"/>
  <c r="I23" i="5"/>
  <c r="I42" i="5" s="1"/>
  <c r="T16" i="6"/>
  <c r="L102" i="10"/>
  <c r="L104" i="10" s="1"/>
  <c r="L29" i="6"/>
  <c r="L45" i="6" s="1"/>
  <c r="L33" i="6"/>
  <c r="L34" i="6" s="1"/>
  <c r="L15" i="10" s="1"/>
  <c r="L89" i="10" s="1"/>
  <c r="I19" i="5"/>
  <c r="I32" i="5" s="1"/>
  <c r="B29" i="5"/>
  <c r="V7" i="6"/>
  <c r="V11" i="6" s="1"/>
  <c r="V50" i="5"/>
  <c r="P22" i="5"/>
  <c r="P38" i="5" s="1"/>
  <c r="P21" i="5"/>
  <c r="P37" i="5" s="1"/>
  <c r="H16" i="6"/>
  <c r="E102" i="10"/>
  <c r="E104" i="10" s="1"/>
  <c r="E33" i="6"/>
  <c r="E34" i="6" s="1"/>
  <c r="E15" i="10" s="1"/>
  <c r="E89" i="10" s="1"/>
  <c r="E29" i="6"/>
  <c r="E45" i="6" s="1"/>
  <c r="O31" i="4"/>
  <c r="O38" i="4" s="1"/>
  <c r="O33" i="4"/>
  <c r="O40" i="4" s="1"/>
  <c r="L22" i="5"/>
  <c r="L38" i="5" s="1"/>
  <c r="L39" i="5" s="1"/>
  <c r="L9" i="6" s="1"/>
  <c r="T22" i="5"/>
  <c r="T38" i="5" s="1"/>
  <c r="T39" i="5" s="1"/>
  <c r="T9" i="6" s="1"/>
  <c r="G58" i="5"/>
  <c r="G18" i="5"/>
  <c r="G28" i="5" s="1"/>
  <c r="G41" i="4"/>
  <c r="G17" i="5"/>
  <c r="G27" i="5" s="1"/>
  <c r="Q41" i="4"/>
  <c r="Q18" i="5"/>
  <c r="Q28" i="5" s="1"/>
  <c r="Q29" i="5" s="1"/>
  <c r="Q58" i="5"/>
  <c r="S23" i="5"/>
  <c r="S42" i="5" s="1"/>
  <c r="E30" i="5"/>
  <c r="E29" i="5"/>
  <c r="P41" i="4"/>
  <c r="H18" i="5"/>
  <c r="H28" i="5" s="1"/>
  <c r="H29" i="5" s="1"/>
  <c r="H24" i="5"/>
  <c r="H43" i="5" s="1"/>
  <c r="H44" i="5" s="1"/>
  <c r="H10" i="6" s="1"/>
  <c r="G22" i="5"/>
  <c r="G38" i="5" s="1"/>
  <c r="G39" i="5" s="1"/>
  <c r="G9" i="6" s="1"/>
  <c r="L35" i="5"/>
  <c r="L34" i="5"/>
  <c r="L8" i="6" s="1"/>
  <c r="R51" i="5"/>
  <c r="R59" i="5" s="1"/>
  <c r="R61" i="5" s="1"/>
  <c r="U41" i="4"/>
  <c r="U58" i="5"/>
  <c r="U17" i="5"/>
  <c r="U27" i="5" s="1"/>
  <c r="B67" i="10"/>
  <c r="B68" i="10" s="1"/>
  <c r="B32" i="8"/>
  <c r="B17" i="8"/>
  <c r="C11" i="8"/>
  <c r="E58" i="5"/>
  <c r="G24" i="5"/>
  <c r="G43" i="5" s="1"/>
  <c r="G44" i="5" s="1"/>
  <c r="G10" i="6" s="1"/>
  <c r="J7" i="6"/>
  <c r="S102" i="10"/>
  <c r="S104" i="10" s="1"/>
  <c r="S29" i="6"/>
  <c r="S45" i="6" s="1"/>
  <c r="S33" i="6"/>
  <c r="S34" i="6" s="1"/>
  <c r="S15" i="10" s="1"/>
  <c r="S89" i="10" s="1"/>
  <c r="Q45" i="5"/>
  <c r="U19" i="5"/>
  <c r="U32" i="5" s="1"/>
  <c r="K32" i="4"/>
  <c r="K39" i="4" s="1"/>
  <c r="J22" i="5"/>
  <c r="J38" i="5" s="1"/>
  <c r="J49" i="5" s="1"/>
  <c r="F48" i="5"/>
  <c r="R20" i="5"/>
  <c r="R33" i="5" s="1"/>
  <c r="R49" i="5" s="1"/>
  <c r="M40" i="5"/>
  <c r="M39" i="5"/>
  <c r="M9" i="6" s="1"/>
  <c r="N22" i="5"/>
  <c r="N38" i="5" s="1"/>
  <c r="N39" i="5" s="1"/>
  <c r="H22" i="5"/>
  <c r="H38" i="5" s="1"/>
  <c r="H39" i="5" s="1"/>
  <c r="H9" i="6" s="1"/>
  <c r="Q22" i="5"/>
  <c r="Q38" i="5" s="1"/>
  <c r="Q39" i="5" s="1"/>
  <c r="Q9" i="6" s="1"/>
  <c r="Q24" i="5"/>
  <c r="Q43" i="5" s="1"/>
  <c r="Q44" i="5" s="1"/>
  <c r="Q10" i="6" s="1"/>
  <c r="N9" i="6" l="1"/>
  <c r="N50" i="5"/>
  <c r="J11" i="7"/>
  <c r="J63" i="5"/>
  <c r="J64" i="5"/>
  <c r="Q7" i="6"/>
  <c r="Q11" i="6" s="1"/>
  <c r="Q50" i="5"/>
  <c r="R11" i="7"/>
  <c r="R63" i="5"/>
  <c r="R64" i="5"/>
  <c r="N11" i="7"/>
  <c r="N63" i="5"/>
  <c r="N64" i="5"/>
  <c r="H7" i="6"/>
  <c r="P7" i="6"/>
  <c r="C11" i="7"/>
  <c r="C63" i="5"/>
  <c r="F11" i="7"/>
  <c r="F63" i="5"/>
  <c r="F64" i="5"/>
  <c r="U35" i="5"/>
  <c r="U34" i="5"/>
  <c r="U8" i="6" s="1"/>
  <c r="K22" i="5"/>
  <c r="K38" i="5" s="1"/>
  <c r="K21" i="5"/>
  <c r="K37" i="5" s="1"/>
  <c r="U20" i="5"/>
  <c r="U33" i="5" s="1"/>
  <c r="U48" i="5"/>
  <c r="U30" i="5"/>
  <c r="H11" i="10"/>
  <c r="H21" i="6"/>
  <c r="H12" i="7" s="1"/>
  <c r="V8" i="10"/>
  <c r="V13" i="6"/>
  <c r="V23" i="6" s="1"/>
  <c r="V12" i="6"/>
  <c r="V16" i="10" s="1"/>
  <c r="I45" i="5"/>
  <c r="T49" i="5"/>
  <c r="P45" i="5"/>
  <c r="K102" i="10"/>
  <c r="K104" i="10" s="1"/>
  <c r="K33" i="6"/>
  <c r="K34" i="6" s="1"/>
  <c r="K15" i="10" s="1"/>
  <c r="K89" i="10" s="1"/>
  <c r="K29" i="6"/>
  <c r="K45" i="6" s="1"/>
  <c r="E11" i="10"/>
  <c r="E21" i="6"/>
  <c r="E12" i="7" s="1"/>
  <c r="C14" i="8"/>
  <c r="U18" i="5"/>
  <c r="U28" i="5" s="1"/>
  <c r="U29" i="5" s="1"/>
  <c r="S45" i="5"/>
  <c r="I35" i="5"/>
  <c r="T48" i="5"/>
  <c r="T29" i="5"/>
  <c r="T30" i="5"/>
  <c r="N49" i="5"/>
  <c r="E35" i="5"/>
  <c r="K11" i="10"/>
  <c r="K21" i="6"/>
  <c r="K12" i="7" s="1"/>
  <c r="D39" i="5"/>
  <c r="D9" i="6" s="1"/>
  <c r="D63" i="5"/>
  <c r="D11" i="7"/>
  <c r="L48" i="5"/>
  <c r="L29" i="5"/>
  <c r="L30" i="5"/>
  <c r="O102" i="10"/>
  <c r="O104" i="10" s="1"/>
  <c r="O29" i="6"/>
  <c r="O45" i="6" s="1"/>
  <c r="O33" i="6"/>
  <c r="O34" i="6" s="1"/>
  <c r="O15" i="10" s="1"/>
  <c r="O89" i="10" s="1"/>
  <c r="T35" i="5"/>
  <c r="M48" i="5"/>
  <c r="M30" i="5"/>
  <c r="M51" i="5" s="1"/>
  <c r="M59" i="5" s="1"/>
  <c r="M61" i="5" s="1"/>
  <c r="F26" i="4"/>
  <c r="F27" i="4"/>
  <c r="U45" i="5"/>
  <c r="S40" i="5"/>
  <c r="B34" i="7"/>
  <c r="B27" i="7"/>
  <c r="B18" i="7"/>
  <c r="B31" i="7"/>
  <c r="B24" i="7"/>
  <c r="B23" i="7"/>
  <c r="B26" i="7" s="1"/>
  <c r="B25" i="7"/>
  <c r="B30" i="7"/>
  <c r="B32" i="7"/>
  <c r="S48" i="5"/>
  <c r="S30" i="5"/>
  <c r="G23" i="7"/>
  <c r="G32" i="7"/>
  <c r="G24" i="7"/>
  <c r="G25" i="7"/>
  <c r="G30" i="7"/>
  <c r="G31" i="7"/>
  <c r="G18" i="7"/>
  <c r="B18" i="8"/>
  <c r="B19" i="8" s="1"/>
  <c r="B72" i="10"/>
  <c r="E7" i="6"/>
  <c r="S24" i="5"/>
  <c r="S43" i="5" s="1"/>
  <c r="S44" i="5" s="1"/>
  <c r="S10" i="6" s="1"/>
  <c r="G30" i="5"/>
  <c r="G51" i="5" s="1"/>
  <c r="G59" i="5" s="1"/>
  <c r="G61" i="5" s="1"/>
  <c r="G29" i="5"/>
  <c r="G48" i="5"/>
  <c r="O23" i="5"/>
  <c r="O42" i="5" s="1"/>
  <c r="I20" i="5"/>
  <c r="I33" i="5" s="1"/>
  <c r="I34" i="5" s="1"/>
  <c r="I8" i="6" s="1"/>
  <c r="T11" i="10"/>
  <c r="T21" i="6"/>
  <c r="T12" i="7" s="1"/>
  <c r="J39" i="5"/>
  <c r="C50" i="5"/>
  <c r="C7" i="6"/>
  <c r="C11" i="6" s="1"/>
  <c r="E20" i="5"/>
  <c r="E33" i="5" s="1"/>
  <c r="E34" i="5" s="1"/>
  <c r="B52" i="5"/>
  <c r="C52" i="5" s="1"/>
  <c r="D52" i="5" s="1"/>
  <c r="B59" i="5"/>
  <c r="B61" i="5" s="1"/>
  <c r="N11" i="6"/>
  <c r="V34" i="7"/>
  <c r="V27" i="7"/>
  <c r="V23" i="7"/>
  <c r="V32" i="7"/>
  <c r="V30" i="7"/>
  <c r="V24" i="7"/>
  <c r="V25" i="7"/>
  <c r="V18" i="7"/>
  <c r="V31" i="7"/>
  <c r="C49" i="10"/>
  <c r="C51" i="10" s="1"/>
  <c r="D47" i="10"/>
  <c r="O58" i="5"/>
  <c r="O18" i="5"/>
  <c r="O28" i="5" s="1"/>
  <c r="O41" i="4"/>
  <c r="O17" i="5"/>
  <c r="O27" i="5" s="1"/>
  <c r="I48" i="5"/>
  <c r="I30" i="5"/>
  <c r="I29" i="5"/>
  <c r="T20" i="5"/>
  <c r="T33" i="5" s="1"/>
  <c r="T34" i="5" s="1"/>
  <c r="T8" i="6" s="1"/>
  <c r="U24" i="5"/>
  <c r="U43" i="5" s="1"/>
  <c r="U44" i="5" s="1"/>
  <c r="U10" i="6" s="1"/>
  <c r="S22" i="5"/>
  <c r="S38" i="5" s="1"/>
  <c r="S39" i="5" s="1"/>
  <c r="S9" i="6" s="1"/>
  <c r="M18" i="5"/>
  <c r="M28" i="5" s="1"/>
  <c r="M49" i="5" s="1"/>
  <c r="D50" i="5"/>
  <c r="D7" i="6"/>
  <c r="D11" i="6" s="1"/>
  <c r="L44" i="5"/>
  <c r="L10" i="6" s="1"/>
  <c r="L45" i="5"/>
  <c r="H34" i="5"/>
  <c r="H8" i="6" s="1"/>
  <c r="H35" i="5"/>
  <c r="H51" i="5" s="1"/>
  <c r="H59" i="5" s="1"/>
  <c r="H61" i="5" s="1"/>
  <c r="I40" i="5"/>
  <c r="I39" i="5"/>
  <c r="I9" i="6" s="1"/>
  <c r="E49" i="5"/>
  <c r="Q51" i="5"/>
  <c r="Q59" i="5" s="1"/>
  <c r="Q61" i="5" s="1"/>
  <c r="L31" i="7"/>
  <c r="L18" i="7"/>
  <c r="L32" i="7"/>
  <c r="L25" i="7"/>
  <c r="L23" i="7"/>
  <c r="L24" i="7"/>
  <c r="L30" i="7"/>
  <c r="R34" i="5"/>
  <c r="S35" i="5"/>
  <c r="S34" i="5"/>
  <c r="S8" i="6" s="1"/>
  <c r="H22" i="4"/>
  <c r="G25" i="4"/>
  <c r="G24" i="4"/>
  <c r="J24" i="7"/>
  <c r="J32" i="7"/>
  <c r="J23" i="7"/>
  <c r="J26" i="7" s="1"/>
  <c r="J27" i="7" s="1"/>
  <c r="J25" i="7"/>
  <c r="J18" i="7"/>
  <c r="J31" i="7"/>
  <c r="J30" i="7"/>
  <c r="J33" i="7" s="1"/>
  <c r="J34" i="7" s="1"/>
  <c r="V11" i="7"/>
  <c r="V63" i="5"/>
  <c r="F30" i="7"/>
  <c r="F23" i="7"/>
  <c r="F25" i="7"/>
  <c r="F24" i="7"/>
  <c r="F31" i="7"/>
  <c r="F18" i="7"/>
  <c r="F32" i="7"/>
  <c r="K24" i="5"/>
  <c r="K43" i="5" s="1"/>
  <c r="K23" i="5"/>
  <c r="K42" i="5" s="1"/>
  <c r="C11" i="10"/>
  <c r="C21" i="6"/>
  <c r="C12" i="7" s="1"/>
  <c r="N30" i="7"/>
  <c r="N24" i="7"/>
  <c r="N31" i="7"/>
  <c r="N18" i="7"/>
  <c r="N32" i="7"/>
  <c r="N23" i="7"/>
  <c r="N26" i="7" s="1"/>
  <c r="N25" i="7"/>
  <c r="S18" i="5"/>
  <c r="S28" i="5" s="1"/>
  <c r="S29" i="5" s="1"/>
  <c r="U40" i="5"/>
  <c r="U39" i="5"/>
  <c r="U9" i="6" s="1"/>
  <c r="C62" i="10"/>
  <c r="E51" i="5"/>
  <c r="E59" i="5" s="1"/>
  <c r="O20" i="5"/>
  <c r="O33" i="5" s="1"/>
  <c r="O19" i="5"/>
  <c r="O32" i="5" s="1"/>
  <c r="V18" i="10"/>
  <c r="O11" i="10"/>
  <c r="O21" i="6"/>
  <c r="O12" i="7" s="1"/>
  <c r="E61" i="5"/>
  <c r="E64" i="5" s="1"/>
  <c r="H49" i="5"/>
  <c r="E48" i="5"/>
  <c r="Q49" i="5"/>
  <c r="G49" i="5"/>
  <c r="P39" i="5"/>
  <c r="P9" i="6" s="1"/>
  <c r="P40" i="5"/>
  <c r="B50" i="5"/>
  <c r="B7" i="6"/>
  <c r="B11" i="6" s="1"/>
  <c r="I24" i="5"/>
  <c r="I43" i="5" s="1"/>
  <c r="I44" i="5" s="1"/>
  <c r="I10" i="6" s="1"/>
  <c r="Q11" i="10"/>
  <c r="Q21" i="6"/>
  <c r="Q12" i="7" s="1"/>
  <c r="P24" i="5"/>
  <c r="P43" i="5" s="1"/>
  <c r="P44" i="5" s="1"/>
  <c r="P10" i="6" s="1"/>
  <c r="S30" i="7"/>
  <c r="S23" i="7"/>
  <c r="S25" i="7"/>
  <c r="S24" i="7"/>
  <c r="S32" i="7"/>
  <c r="S18" i="7"/>
  <c r="S31" i="7"/>
  <c r="R18" i="7"/>
  <c r="R31" i="7"/>
  <c r="R24" i="7"/>
  <c r="R32" i="7"/>
  <c r="R30" i="7"/>
  <c r="R25" i="7"/>
  <c r="R23" i="7"/>
  <c r="R26" i="7" s="1"/>
  <c r="M30" i="7"/>
  <c r="M31" i="7"/>
  <c r="M24" i="7"/>
  <c r="M25" i="7"/>
  <c r="M18" i="7"/>
  <c r="M32" i="7"/>
  <c r="M23" i="7"/>
  <c r="M26" i="7" s="1"/>
  <c r="I18" i="5"/>
  <c r="I28" i="5" s="1"/>
  <c r="D34" i="7"/>
  <c r="D27" i="7"/>
  <c r="D32" i="7"/>
  <c r="D25" i="7"/>
  <c r="D23" i="7"/>
  <c r="D24" i="7"/>
  <c r="D30" i="7"/>
  <c r="D31" i="7"/>
  <c r="D18" i="7"/>
  <c r="F7" i="6"/>
  <c r="F11" i="6" s="1"/>
  <c r="F50" i="5"/>
  <c r="S20" i="5"/>
  <c r="S33" i="5" s="1"/>
  <c r="C48" i="10"/>
  <c r="D48" i="10" s="1"/>
  <c r="E48" i="10" s="1"/>
  <c r="F48" i="10" s="1"/>
  <c r="G48" i="10" s="1"/>
  <c r="H48" i="10" s="1"/>
  <c r="I48" i="10" s="1"/>
  <c r="J48" i="10" s="1"/>
  <c r="K48" i="10" s="1"/>
  <c r="L48" i="10" s="1"/>
  <c r="M48" i="10" s="1"/>
  <c r="N48" i="10" s="1"/>
  <c r="O48" i="10" s="1"/>
  <c r="P48" i="10" s="1"/>
  <c r="Q48" i="10" s="1"/>
  <c r="R48" i="10" s="1"/>
  <c r="S48" i="10" s="1"/>
  <c r="T48" i="10" s="1"/>
  <c r="U48" i="10" s="1"/>
  <c r="V48" i="10" s="1"/>
  <c r="C15" i="10"/>
  <c r="C89" i="10" s="1"/>
  <c r="U11" i="10"/>
  <c r="U21" i="6"/>
  <c r="U12" i="7" s="1"/>
  <c r="H48" i="5"/>
  <c r="P31" i="7"/>
  <c r="P24" i="7"/>
  <c r="P30" i="7"/>
  <c r="P33" i="7" s="1"/>
  <c r="P34" i="7" s="1"/>
  <c r="P25" i="7"/>
  <c r="P18" i="7"/>
  <c r="P32" i="7"/>
  <c r="P23" i="7"/>
  <c r="P26" i="7" s="1"/>
  <c r="P48" i="5"/>
  <c r="P34" i="5"/>
  <c r="P8" i="6" s="1"/>
  <c r="P35" i="5"/>
  <c r="P51" i="5" s="1"/>
  <c r="P59" i="5" s="1"/>
  <c r="P61" i="5" s="1"/>
  <c r="I24" i="7"/>
  <c r="I23" i="7"/>
  <c r="I26" i="7" s="1"/>
  <c r="I27" i="7" s="1"/>
  <c r="I31" i="7"/>
  <c r="I18" i="7"/>
  <c r="I25" i="7"/>
  <c r="I32" i="7"/>
  <c r="I30" i="7"/>
  <c r="I33" i="7" s="1"/>
  <c r="I34" i="7" s="1"/>
  <c r="K58" i="5"/>
  <c r="K18" i="5"/>
  <c r="K28" i="5" s="1"/>
  <c r="K49" i="5" s="1"/>
  <c r="K41" i="4"/>
  <c r="K17" i="5"/>
  <c r="K27" i="5" s="1"/>
  <c r="O40" i="5"/>
  <c r="O39" i="5"/>
  <c r="O9" i="6" s="1"/>
  <c r="K35" i="5"/>
  <c r="K34" i="5"/>
  <c r="K8" i="6" s="1"/>
  <c r="P63" i="5" l="1"/>
  <c r="P11" i="7"/>
  <c r="P64" i="5"/>
  <c r="Q11" i="7"/>
  <c r="Q63" i="5"/>
  <c r="Q64" i="5"/>
  <c r="H63" i="5"/>
  <c r="H11" i="7"/>
  <c r="H64" i="5"/>
  <c r="M11" i="7"/>
  <c r="M63" i="5"/>
  <c r="M64" i="5"/>
  <c r="S50" i="5"/>
  <c r="S7" i="6"/>
  <c r="S11" i="6" s="1"/>
  <c r="E8" i="6"/>
  <c r="E50" i="5"/>
  <c r="G11" i="7"/>
  <c r="G63" i="5"/>
  <c r="G64" i="5"/>
  <c r="B97" i="10"/>
  <c r="B28" i="10"/>
  <c r="B16" i="9"/>
  <c r="B15" i="9"/>
  <c r="B21" i="8"/>
  <c r="B25" i="8" s="1"/>
  <c r="U7" i="6"/>
  <c r="U11" i="6" s="1"/>
  <c r="U50" i="5"/>
  <c r="P54" i="10"/>
  <c r="R54" i="10"/>
  <c r="N54" i="10"/>
  <c r="N43" i="7"/>
  <c r="N93" i="10" s="1"/>
  <c r="F26" i="7"/>
  <c r="I7" i="6"/>
  <c r="I11" i="6" s="1"/>
  <c r="I50" i="5"/>
  <c r="K48" i="5"/>
  <c r="K30" i="5"/>
  <c r="K29" i="5"/>
  <c r="P27" i="7"/>
  <c r="U23" i="7"/>
  <c r="U26" i="7" s="1"/>
  <c r="U32" i="7"/>
  <c r="U25" i="7"/>
  <c r="U18" i="7"/>
  <c r="U30" i="7"/>
  <c r="U33" i="7" s="1"/>
  <c r="U24" i="7"/>
  <c r="U31" i="7"/>
  <c r="D26" i="7"/>
  <c r="M54" i="10"/>
  <c r="R27" i="7"/>
  <c r="S33" i="7"/>
  <c r="Q25" i="7"/>
  <c r="Q32" i="7"/>
  <c r="Q30" i="7"/>
  <c r="Q33" i="7" s="1"/>
  <c r="Q24" i="7"/>
  <c r="Q23" i="7"/>
  <c r="Q26" i="7" s="1"/>
  <c r="Q31" i="7"/>
  <c r="Q18" i="7"/>
  <c r="O34" i="5"/>
  <c r="O8" i="6" s="1"/>
  <c r="O35" i="5"/>
  <c r="V39" i="7"/>
  <c r="V20" i="7"/>
  <c r="V38" i="7" s="1"/>
  <c r="V17" i="7"/>
  <c r="V16" i="7"/>
  <c r="V15" i="7"/>
  <c r="I22" i="4"/>
  <c r="H24" i="4"/>
  <c r="H25" i="4"/>
  <c r="L33" i="7"/>
  <c r="D8" i="10"/>
  <c r="D12" i="6"/>
  <c r="D16" i="10" s="1"/>
  <c r="D18" i="10" s="1"/>
  <c r="D13" i="6"/>
  <c r="D23" i="6" s="1"/>
  <c r="N8" i="10"/>
  <c r="N12" i="6"/>
  <c r="N16" i="10" s="1"/>
  <c r="N18" i="10" s="1"/>
  <c r="C8" i="10"/>
  <c r="C13" i="6"/>
  <c r="C23" i="6" s="1"/>
  <c r="C12" i="6"/>
  <c r="C16" i="10" s="1"/>
  <c r="C18" i="10" s="1"/>
  <c r="B54" i="10"/>
  <c r="B43" i="7"/>
  <c r="B93" i="10" s="1"/>
  <c r="L51" i="5"/>
  <c r="L59" i="5" s="1"/>
  <c r="L61" i="5" s="1"/>
  <c r="D20" i="7"/>
  <c r="D38" i="7" s="1"/>
  <c r="D39" i="7"/>
  <c r="D16" i="7"/>
  <c r="D15" i="7"/>
  <c r="D17" i="7"/>
  <c r="E31" i="7"/>
  <c r="E24" i="7"/>
  <c r="E25" i="7"/>
  <c r="E18" i="7"/>
  <c r="E32" i="7"/>
  <c r="E23" i="7"/>
  <c r="E30" i="7"/>
  <c r="E33" i="7" s="1"/>
  <c r="V35" i="6"/>
  <c r="V36" i="6" s="1"/>
  <c r="V44" i="6" s="1"/>
  <c r="V43" i="6"/>
  <c r="F17" i="7"/>
  <c r="F16" i="7"/>
  <c r="F15" i="7"/>
  <c r="F19" i="7" s="1"/>
  <c r="P50" i="5"/>
  <c r="R16" i="7"/>
  <c r="R15" i="7"/>
  <c r="R17" i="7"/>
  <c r="I71" i="10"/>
  <c r="P71" i="10"/>
  <c r="B13" i="6"/>
  <c r="B23" i="6" s="1"/>
  <c r="B12" i="6"/>
  <c r="B16" i="10" s="1"/>
  <c r="B18" i="10" s="1"/>
  <c r="B8" i="10"/>
  <c r="E11" i="7"/>
  <c r="E63" i="5"/>
  <c r="C27" i="7"/>
  <c r="C34" i="7"/>
  <c r="C25" i="7"/>
  <c r="C31" i="7"/>
  <c r="C23" i="7"/>
  <c r="C32" i="7"/>
  <c r="C30" i="7"/>
  <c r="C18" i="7"/>
  <c r="C24" i="7"/>
  <c r="O30" i="5"/>
  <c r="O48" i="5"/>
  <c r="O29" i="5"/>
  <c r="D49" i="10"/>
  <c r="D51" i="10" s="1"/>
  <c r="E47" i="10"/>
  <c r="V26" i="7"/>
  <c r="B11" i="7"/>
  <c r="B63" i="5"/>
  <c r="G50" i="5"/>
  <c r="G7" i="6"/>
  <c r="G11" i="6" s="1"/>
  <c r="E11" i="6"/>
  <c r="L50" i="5"/>
  <c r="L7" i="6"/>
  <c r="L11" i="6" s="1"/>
  <c r="K32" i="7"/>
  <c r="K24" i="7"/>
  <c r="K30" i="7"/>
  <c r="K18" i="7"/>
  <c r="K31" i="7"/>
  <c r="K23" i="7"/>
  <c r="K26" i="7" s="1"/>
  <c r="K27" i="7" s="1"/>
  <c r="K25" i="7"/>
  <c r="C67" i="10"/>
  <c r="C68" i="10" s="1"/>
  <c r="C32" i="8"/>
  <c r="D11" i="8"/>
  <c r="V119" i="10"/>
  <c r="V118" i="10"/>
  <c r="V120" i="10"/>
  <c r="V39" i="10"/>
  <c r="V20" i="10"/>
  <c r="V24" i="10" s="1"/>
  <c r="H11" i="6"/>
  <c r="N17" i="7"/>
  <c r="N15" i="7"/>
  <c r="N16" i="7"/>
  <c r="J16" i="7"/>
  <c r="J17" i="7"/>
  <c r="J15" i="7"/>
  <c r="J19" i="7" s="1"/>
  <c r="J54" i="10"/>
  <c r="J43" i="7"/>
  <c r="J93" i="10" s="1"/>
  <c r="F8" i="10"/>
  <c r="F13" i="6"/>
  <c r="F23" i="6" s="1"/>
  <c r="F12" i="6"/>
  <c r="F16" i="10" s="1"/>
  <c r="F18" i="10" s="1"/>
  <c r="D33" i="7"/>
  <c r="M33" i="7"/>
  <c r="B33" i="7"/>
  <c r="T51" i="5"/>
  <c r="T59" i="5" s="1"/>
  <c r="T61" i="5" s="1"/>
  <c r="C17" i="8"/>
  <c r="H24" i="7"/>
  <c r="H23" i="7"/>
  <c r="H31" i="7"/>
  <c r="H30" i="7"/>
  <c r="H32" i="7"/>
  <c r="H25" i="7"/>
  <c r="H18" i="7"/>
  <c r="K40" i="5"/>
  <c r="K39" i="5"/>
  <c r="K9" i="6" s="1"/>
  <c r="C39" i="7"/>
  <c r="C20" i="7"/>
  <c r="C38" i="7" s="1"/>
  <c r="C17" i="7"/>
  <c r="C15" i="7"/>
  <c r="C16" i="7"/>
  <c r="H50" i="5"/>
  <c r="Q8" i="10"/>
  <c r="Q13" i="6"/>
  <c r="Q23" i="6" s="1"/>
  <c r="Q12" i="6"/>
  <c r="Q16" i="10" s="1"/>
  <c r="Q18" i="10" s="1"/>
  <c r="J71" i="10"/>
  <c r="J44" i="7"/>
  <c r="J95" i="10" s="1"/>
  <c r="I54" i="10"/>
  <c r="O25" i="7"/>
  <c r="O32" i="7"/>
  <c r="O30" i="7"/>
  <c r="O33" i="7" s="1"/>
  <c r="O23" i="7"/>
  <c r="O31" i="7"/>
  <c r="O18" i="7"/>
  <c r="O24" i="7"/>
  <c r="N33" i="7"/>
  <c r="G27" i="4"/>
  <c r="G26" i="4"/>
  <c r="L26" i="7"/>
  <c r="E52" i="5"/>
  <c r="F52" i="5" s="1"/>
  <c r="G52" i="5" s="1"/>
  <c r="H52" i="5" s="1"/>
  <c r="J9" i="6"/>
  <c r="J11" i="6" s="1"/>
  <c r="J50" i="5"/>
  <c r="O45" i="5"/>
  <c r="I49" i="5"/>
  <c r="M27" i="7"/>
  <c r="R33" i="7"/>
  <c r="S26" i="7"/>
  <c r="P49" i="5"/>
  <c r="D62" i="10"/>
  <c r="S49" i="5"/>
  <c r="N27" i="7"/>
  <c r="K45" i="5"/>
  <c r="K44" i="5"/>
  <c r="K10" i="6" s="1"/>
  <c r="F33" i="7"/>
  <c r="R8" i="6"/>
  <c r="R11" i="6" s="1"/>
  <c r="R50" i="5"/>
  <c r="I51" i="5"/>
  <c r="I59" i="5" s="1"/>
  <c r="I61" i="5" s="1"/>
  <c r="V33" i="7"/>
  <c r="T24" i="7"/>
  <c r="T30" i="7"/>
  <c r="T33" i="7" s="1"/>
  <c r="T34" i="7" s="1"/>
  <c r="T31" i="7"/>
  <c r="T18" i="7"/>
  <c r="T32" i="7"/>
  <c r="T25" i="7"/>
  <c r="T23" i="7"/>
  <c r="O24" i="5"/>
  <c r="O43" i="5" s="1"/>
  <c r="O49" i="5" s="1"/>
  <c r="G33" i="7"/>
  <c r="G26" i="7"/>
  <c r="S51" i="5"/>
  <c r="S59" i="5" s="1"/>
  <c r="S61" i="5" s="1"/>
  <c r="M29" i="5"/>
  <c r="T50" i="5"/>
  <c r="T7" i="6"/>
  <c r="T11" i="6" s="1"/>
  <c r="U49" i="5"/>
  <c r="U51" i="5"/>
  <c r="U59" i="5" s="1"/>
  <c r="U61" i="5" s="1"/>
  <c r="P11" i="6"/>
  <c r="M7" i="6" l="1"/>
  <c r="M11" i="6" s="1"/>
  <c r="M50" i="5"/>
  <c r="S54" i="10"/>
  <c r="S43" i="7"/>
  <c r="S93" i="10" s="1"/>
  <c r="S27" i="7"/>
  <c r="L54" i="10"/>
  <c r="L43" i="7"/>
  <c r="L93" i="10" s="1"/>
  <c r="L27" i="7"/>
  <c r="F35" i="6"/>
  <c r="F36" i="6" s="1"/>
  <c r="F44" i="6" s="1"/>
  <c r="F43" i="6"/>
  <c r="J55" i="10"/>
  <c r="J37" i="7"/>
  <c r="S11" i="7"/>
  <c r="S63" i="5"/>
  <c r="S64" i="5"/>
  <c r="T26" i="7"/>
  <c r="E62" i="10"/>
  <c r="R71" i="10"/>
  <c r="R44" i="7"/>
  <c r="R95" i="10" s="1"/>
  <c r="R34" i="7"/>
  <c r="J8" i="10"/>
  <c r="J12" i="6"/>
  <c r="J16" i="10" s="1"/>
  <c r="J18" i="10" s="1"/>
  <c r="H26" i="7"/>
  <c r="C18" i="8"/>
  <c r="C19" i="8" s="1"/>
  <c r="M71" i="10"/>
  <c r="M44" i="7"/>
  <c r="M95" i="10" s="1"/>
  <c r="M34" i="7"/>
  <c r="F20" i="10"/>
  <c r="F24" i="10" s="1"/>
  <c r="C72" i="10"/>
  <c r="E8" i="10"/>
  <c r="E12" i="6"/>
  <c r="E16" i="10" s="1"/>
  <c r="E18" i="10" s="1"/>
  <c r="E13" i="6"/>
  <c r="E23" i="6" s="1"/>
  <c r="B39" i="7"/>
  <c r="B20" i="7"/>
  <c r="B38" i="7" s="1"/>
  <c r="B17" i="7"/>
  <c r="B16" i="7"/>
  <c r="B15" i="7"/>
  <c r="O7" i="6"/>
  <c r="O11" i="6" s="1"/>
  <c r="B43" i="6"/>
  <c r="B35" i="6"/>
  <c r="B36" i="6" s="1"/>
  <c r="B44" i="6" s="1"/>
  <c r="F55" i="10"/>
  <c r="F37" i="7"/>
  <c r="E71" i="10"/>
  <c r="E44" i="7"/>
  <c r="E95" i="10" s="1"/>
  <c r="E34" i="7"/>
  <c r="C118" i="10"/>
  <c r="C119" i="10"/>
  <c r="C120" i="10"/>
  <c r="C20" i="10"/>
  <c r="C24" i="10" s="1"/>
  <c r="C39" i="10"/>
  <c r="D120" i="10"/>
  <c r="D119" i="10"/>
  <c r="D118" i="10"/>
  <c r="D20" i="10"/>
  <c r="D24" i="10" s="1"/>
  <c r="D39" i="10"/>
  <c r="J22" i="4"/>
  <c r="I25" i="4"/>
  <c r="I24" i="4"/>
  <c r="Q71" i="10"/>
  <c r="Q44" i="7"/>
  <c r="Q95" i="10" s="1"/>
  <c r="Q34" i="7"/>
  <c r="U71" i="10"/>
  <c r="U44" i="7"/>
  <c r="U95" i="10" s="1"/>
  <c r="U54" i="10"/>
  <c r="U43" i="7"/>
  <c r="U93" i="10" s="1"/>
  <c r="K50" i="5"/>
  <c r="K7" i="6"/>
  <c r="K11" i="6" s="1"/>
  <c r="I8" i="10"/>
  <c r="I12" i="6"/>
  <c r="I16" i="10" s="1"/>
  <c r="I18" i="10" s="1"/>
  <c r="B26" i="8"/>
  <c r="B27" i="8" s="1"/>
  <c r="H16" i="7"/>
  <c r="H15" i="7"/>
  <c r="H17" i="7"/>
  <c r="Q15" i="7"/>
  <c r="Q17" i="7"/>
  <c r="Q16" i="7"/>
  <c r="I11" i="7"/>
  <c r="I63" i="5"/>
  <c r="I64" i="5"/>
  <c r="O71" i="10"/>
  <c r="O44" i="7"/>
  <c r="O95" i="10" s="1"/>
  <c r="B71" i="10"/>
  <c r="B73" i="10" s="1"/>
  <c r="B44" i="7"/>
  <c r="B95" i="10" s="1"/>
  <c r="P8" i="10"/>
  <c r="P12" i="6"/>
  <c r="P16" i="10" s="1"/>
  <c r="P18" i="10" s="1"/>
  <c r="P13" i="6"/>
  <c r="P23" i="6" s="1"/>
  <c r="T8" i="10"/>
  <c r="T12" i="6"/>
  <c r="T16" i="10" s="1"/>
  <c r="T18" i="10" s="1"/>
  <c r="T13" i="6"/>
  <c r="T23" i="6" s="1"/>
  <c r="G54" i="10"/>
  <c r="G43" i="7"/>
  <c r="G93" i="10" s="1"/>
  <c r="G27" i="7"/>
  <c r="T71" i="10"/>
  <c r="T44" i="7"/>
  <c r="T95" i="10" s="1"/>
  <c r="V71" i="10"/>
  <c r="V44" i="7"/>
  <c r="V95" i="10" s="1"/>
  <c r="R8" i="10"/>
  <c r="R13" i="6"/>
  <c r="R23" i="6" s="1"/>
  <c r="R12" i="6"/>
  <c r="R16" i="10" s="1"/>
  <c r="R18" i="10" s="1"/>
  <c r="O44" i="5"/>
  <c r="O10" i="6" s="1"/>
  <c r="I52" i="5"/>
  <c r="J52" i="5" s="1"/>
  <c r="N19" i="7"/>
  <c r="H8" i="10"/>
  <c r="H12" i="6"/>
  <c r="H16" i="10" s="1"/>
  <c r="H18" i="10" s="1"/>
  <c r="H13" i="6"/>
  <c r="H23" i="6" s="1"/>
  <c r="D14" i="8"/>
  <c r="D17" i="8"/>
  <c r="K33" i="7"/>
  <c r="G8" i="10"/>
  <c r="G12" i="6"/>
  <c r="G16" i="10" s="1"/>
  <c r="G18" i="10" s="1"/>
  <c r="V54" i="10"/>
  <c r="V43" i="7"/>
  <c r="V93" i="10" s="1"/>
  <c r="C33" i="7"/>
  <c r="E17" i="7"/>
  <c r="E15" i="7"/>
  <c r="E16" i="7"/>
  <c r="E26" i="7"/>
  <c r="L71" i="10"/>
  <c r="L44" i="7"/>
  <c r="L95" i="10" s="1"/>
  <c r="L34" i="7"/>
  <c r="V19" i="7"/>
  <c r="S71" i="10"/>
  <c r="S44" i="7"/>
  <c r="S95" i="10" s="1"/>
  <c r="S34" i="7"/>
  <c r="D54" i="10"/>
  <c r="U27" i="7"/>
  <c r="K51" i="5"/>
  <c r="K59" i="5" s="1"/>
  <c r="K61" i="5" s="1"/>
  <c r="F54" i="10"/>
  <c r="F43" i="7"/>
  <c r="F93" i="10" s="1"/>
  <c r="F27" i="7"/>
  <c r="Q35" i="6"/>
  <c r="Q36" i="6" s="1"/>
  <c r="Q44" i="6" s="1"/>
  <c r="Q43" i="6"/>
  <c r="C19" i="7"/>
  <c r="T63" i="5"/>
  <c r="T11" i="7"/>
  <c r="T64" i="5"/>
  <c r="D71" i="10"/>
  <c r="D44" i="7"/>
  <c r="D95" i="10" s="1"/>
  <c r="U11" i="7"/>
  <c r="U63" i="5"/>
  <c r="U64" i="5"/>
  <c r="G71" i="10"/>
  <c r="G44" i="7"/>
  <c r="G95" i="10" s="1"/>
  <c r="G34" i="7"/>
  <c r="F71" i="10"/>
  <c r="F44" i="7"/>
  <c r="F95" i="10" s="1"/>
  <c r="F34" i="7"/>
  <c r="N71" i="10"/>
  <c r="N44" i="7"/>
  <c r="N95" i="10" s="1"/>
  <c r="N34" i="7"/>
  <c r="O26" i="7"/>
  <c r="O34" i="7"/>
  <c r="Q118" i="10"/>
  <c r="Q20" i="10"/>
  <c r="Q24" i="10" s="1"/>
  <c r="H33" i="7"/>
  <c r="J20" i="7"/>
  <c r="J38" i="7" s="1"/>
  <c r="V38" i="10"/>
  <c r="V124" i="10" s="1"/>
  <c r="K54" i="10"/>
  <c r="K43" i="7"/>
  <c r="K93" i="10" s="1"/>
  <c r="L12" i="6"/>
  <c r="L16" i="10" s="1"/>
  <c r="L18" i="10" s="1"/>
  <c r="L8" i="10"/>
  <c r="L13" i="6"/>
  <c r="L23" i="6" s="1"/>
  <c r="E49" i="10"/>
  <c r="E51" i="10" s="1"/>
  <c r="F47" i="10"/>
  <c r="O51" i="5"/>
  <c r="O59" i="5" s="1"/>
  <c r="O61" i="5" s="1"/>
  <c r="B119" i="10"/>
  <c r="B118" i="10"/>
  <c r="B120" i="10"/>
  <c r="B39" i="10"/>
  <c r="B20" i="10"/>
  <c r="B24" i="10" s="1"/>
  <c r="P44" i="7"/>
  <c r="P95" i="10" s="1"/>
  <c r="D19" i="7"/>
  <c r="L63" i="5"/>
  <c r="L11" i="7"/>
  <c r="L64" i="5"/>
  <c r="N13" i="6"/>
  <c r="N23" i="6" s="1"/>
  <c r="D43" i="6"/>
  <c r="D35" i="6"/>
  <c r="D36" i="6" s="1"/>
  <c r="D44" i="6" s="1"/>
  <c r="Q54" i="10"/>
  <c r="Q43" i="7"/>
  <c r="Q93" i="10" s="1"/>
  <c r="U34" i="7"/>
  <c r="S8" i="10"/>
  <c r="S13" i="6"/>
  <c r="S23" i="6" s="1"/>
  <c r="S12" i="6"/>
  <c r="S16" i="10" s="1"/>
  <c r="S18" i="10" s="1"/>
  <c r="M16" i="7"/>
  <c r="M17" i="7"/>
  <c r="M15" i="7"/>
  <c r="P17" i="7"/>
  <c r="P16" i="7"/>
  <c r="P15" i="7"/>
  <c r="P19" i="7" s="1"/>
  <c r="C26" i="7"/>
  <c r="D43" i="7" s="1"/>
  <c r="D93" i="10" s="1"/>
  <c r="R19" i="7"/>
  <c r="F20" i="7"/>
  <c r="F38" i="7" s="1"/>
  <c r="C35" i="6"/>
  <c r="C36" i="6" s="1"/>
  <c r="C44" i="6" s="1"/>
  <c r="C43" i="6"/>
  <c r="N118" i="10"/>
  <c r="N20" i="10"/>
  <c r="N24" i="10" s="1"/>
  <c r="H27" i="4"/>
  <c r="H26" i="4"/>
  <c r="Q27" i="7"/>
  <c r="M43" i="7"/>
  <c r="M93" i="10" s="1"/>
  <c r="R43" i="7"/>
  <c r="R93" i="10" s="1"/>
  <c r="U8" i="10"/>
  <c r="U12" i="6"/>
  <c r="U16" i="10" s="1"/>
  <c r="U18" i="10" s="1"/>
  <c r="B125" i="10"/>
  <c r="B29" i="10"/>
  <c r="B91" i="10" s="1"/>
  <c r="G15" i="7"/>
  <c r="G16" i="7"/>
  <c r="G17" i="7"/>
  <c r="C97" i="10" l="1"/>
  <c r="C28" i="10"/>
  <c r="C16" i="9"/>
  <c r="C15" i="9"/>
  <c r="C21" i="8"/>
  <c r="C25" i="8" s="1"/>
  <c r="K11" i="7"/>
  <c r="K63" i="5"/>
  <c r="K64" i="5"/>
  <c r="G20" i="10"/>
  <c r="G24" i="10" s="1"/>
  <c r="R55" i="10"/>
  <c r="R37" i="7"/>
  <c r="R20" i="7"/>
  <c r="R38" i="7" s="1"/>
  <c r="P55" i="10"/>
  <c r="P37" i="7"/>
  <c r="P20" i="7"/>
  <c r="P38" i="7" s="1"/>
  <c r="G19" i="7"/>
  <c r="N35" i="6"/>
  <c r="N36" i="6" s="1"/>
  <c r="N44" i="6" s="1"/>
  <c r="N43" i="6"/>
  <c r="D18" i="8"/>
  <c r="D19" i="8"/>
  <c r="H20" i="10"/>
  <c r="H24" i="10" s="1"/>
  <c r="P118" i="10"/>
  <c r="P20" i="10"/>
  <c r="P24" i="10" s="1"/>
  <c r="I15" i="7"/>
  <c r="I17" i="7"/>
  <c r="I16" i="7"/>
  <c r="B28" i="8"/>
  <c r="I13" i="6"/>
  <c r="I23" i="6" s="1"/>
  <c r="I27" i="4"/>
  <c r="I26" i="4"/>
  <c r="D38" i="10"/>
  <c r="D124" i="10" s="1"/>
  <c r="O50" i="5"/>
  <c r="E20" i="10"/>
  <c r="E24" i="10" s="1"/>
  <c r="H54" i="10"/>
  <c r="H43" i="7"/>
  <c r="H93" i="10" s="1"/>
  <c r="H27" i="7"/>
  <c r="I43" i="7"/>
  <c r="I93" i="10" s="1"/>
  <c r="F62" i="10"/>
  <c r="S16" i="7"/>
  <c r="S17" i="7"/>
  <c r="S15" i="7"/>
  <c r="S35" i="6"/>
  <c r="S36" i="6" s="1"/>
  <c r="S44" i="6" s="1"/>
  <c r="S43" i="6"/>
  <c r="L16" i="7"/>
  <c r="L15" i="7"/>
  <c r="L17" i="7"/>
  <c r="B38" i="10"/>
  <c r="B124" i="10" s="1"/>
  <c r="B31" i="10"/>
  <c r="L43" i="6"/>
  <c r="L35" i="6"/>
  <c r="L36" i="6" s="1"/>
  <c r="L44" i="6" s="1"/>
  <c r="B126" i="10"/>
  <c r="B75" i="10"/>
  <c r="U20" i="10"/>
  <c r="U24" i="10" s="1"/>
  <c r="S20" i="10"/>
  <c r="S24" i="10" s="1"/>
  <c r="O11" i="7"/>
  <c r="O63" i="5"/>
  <c r="O64" i="5"/>
  <c r="L118" i="10"/>
  <c r="L20" i="10"/>
  <c r="L24" i="10" s="1"/>
  <c r="O54" i="10"/>
  <c r="O43" i="7"/>
  <c r="O93" i="10" s="1"/>
  <c r="P43" i="7"/>
  <c r="P93" i="10" s="1"/>
  <c r="O27" i="7"/>
  <c r="U15" i="7"/>
  <c r="U16" i="7"/>
  <c r="U17" i="7"/>
  <c r="T16" i="7"/>
  <c r="T15" i="7"/>
  <c r="T17" i="7"/>
  <c r="M19" i="7"/>
  <c r="D55" i="10"/>
  <c r="D37" i="7"/>
  <c r="D39" i="6" s="1"/>
  <c r="D42" i="7"/>
  <c r="F49" i="10"/>
  <c r="F51" i="10" s="1"/>
  <c r="G47" i="10"/>
  <c r="H71" i="10"/>
  <c r="H44" i="7"/>
  <c r="H95" i="10" s="1"/>
  <c r="I44" i="7"/>
  <c r="I95" i="10" s="1"/>
  <c r="H34" i="7"/>
  <c r="U13" i="6"/>
  <c r="U23" i="6" s="1"/>
  <c r="N38" i="10"/>
  <c r="C54" i="10"/>
  <c r="C43" i="7"/>
  <c r="C93" i="10" s="1"/>
  <c r="Q38" i="10"/>
  <c r="C55" i="10"/>
  <c r="C37" i="7"/>
  <c r="C39" i="6" s="1"/>
  <c r="V55" i="10"/>
  <c r="V37" i="7"/>
  <c r="V39" i="6" s="1"/>
  <c r="E54" i="10"/>
  <c r="E43" i="7"/>
  <c r="E93" i="10" s="1"/>
  <c r="E27" i="7"/>
  <c r="E19" i="7"/>
  <c r="C71" i="10"/>
  <c r="C73" i="10" s="1"/>
  <c r="C44" i="7"/>
  <c r="C95" i="10" s="1"/>
  <c r="G13" i="6"/>
  <c r="G23" i="6" s="1"/>
  <c r="D32" i="8"/>
  <c r="E11" i="8"/>
  <c r="N55" i="10"/>
  <c r="N37" i="7"/>
  <c r="N20" i="7"/>
  <c r="N38" i="7" s="1"/>
  <c r="T20" i="10"/>
  <c r="T24" i="10" s="1"/>
  <c r="I20" i="10"/>
  <c r="I24" i="10" s="1"/>
  <c r="C38" i="10"/>
  <c r="C124" i="10" s="1"/>
  <c r="F39" i="6"/>
  <c r="F39" i="7"/>
  <c r="B19" i="7"/>
  <c r="F118" i="10"/>
  <c r="T54" i="10"/>
  <c r="T43" i="7"/>
  <c r="T93" i="10" s="1"/>
  <c r="T27" i="7"/>
  <c r="E35" i="6"/>
  <c r="E36" i="6" s="1"/>
  <c r="E44" i="6" s="1"/>
  <c r="E43" i="6"/>
  <c r="F38" i="10"/>
  <c r="J118" i="10"/>
  <c r="J20" i="10"/>
  <c r="J24" i="10" s="1"/>
  <c r="J39" i="6"/>
  <c r="J39" i="7"/>
  <c r="H43" i="6"/>
  <c r="H35" i="6"/>
  <c r="H36" i="6" s="1"/>
  <c r="H44" i="6" s="1"/>
  <c r="R43" i="6"/>
  <c r="R35" i="6"/>
  <c r="R36" i="6" s="1"/>
  <c r="R44" i="6" s="1"/>
  <c r="P43" i="6"/>
  <c r="P35" i="6"/>
  <c r="P36" i="6" s="1"/>
  <c r="P44" i="6" s="1"/>
  <c r="K8" i="10"/>
  <c r="K12" i="6"/>
  <c r="K16" i="10" s="1"/>
  <c r="K18" i="10" s="1"/>
  <c r="K22" i="4"/>
  <c r="J24" i="4"/>
  <c r="J25" i="4"/>
  <c r="K71" i="10"/>
  <c r="K44" i="7"/>
  <c r="K95" i="10" s="1"/>
  <c r="K34" i="7"/>
  <c r="K52" i="5"/>
  <c r="L52" i="5" s="1"/>
  <c r="M52" i="5" s="1"/>
  <c r="N52" i="5" s="1"/>
  <c r="O52" i="5" s="1"/>
  <c r="P52" i="5" s="1"/>
  <c r="Q52" i="5" s="1"/>
  <c r="R52" i="5" s="1"/>
  <c r="S52" i="5" s="1"/>
  <c r="T52" i="5" s="1"/>
  <c r="U52" i="5" s="1"/>
  <c r="V52" i="5" s="1"/>
  <c r="B57" i="11" s="1"/>
  <c r="R118" i="10"/>
  <c r="R20" i="10"/>
  <c r="R24" i="10" s="1"/>
  <c r="T43" i="6"/>
  <c r="T35" i="6"/>
  <c r="T36" i="6" s="1"/>
  <c r="T44" i="6" s="1"/>
  <c r="Q19" i="7"/>
  <c r="R42" i="7" s="1"/>
  <c r="H19" i="7"/>
  <c r="O8" i="10"/>
  <c r="O12" i="6"/>
  <c r="O16" i="10" s="1"/>
  <c r="O18" i="10" s="1"/>
  <c r="J13" i="6"/>
  <c r="J23" i="6" s="1"/>
  <c r="M8" i="10"/>
  <c r="M12" i="6"/>
  <c r="M16" i="10" s="1"/>
  <c r="M18" i="10" s="1"/>
  <c r="R94" i="10" l="1"/>
  <c r="R45" i="7"/>
  <c r="K20" i="10"/>
  <c r="K24" i="10" s="1"/>
  <c r="S38" i="10"/>
  <c r="J35" i="6"/>
  <c r="J36" i="6" s="1"/>
  <c r="J44" i="6" s="1"/>
  <c r="J43" i="6"/>
  <c r="R38" i="10"/>
  <c r="L22" i="4"/>
  <c r="K24" i="4"/>
  <c r="K25" i="4"/>
  <c r="F39" i="10"/>
  <c r="F119" i="10"/>
  <c r="I38" i="10"/>
  <c r="T118" i="10"/>
  <c r="E14" i="8"/>
  <c r="E13" i="8"/>
  <c r="D97" i="10"/>
  <c r="D16" i="9"/>
  <c r="D28" i="10"/>
  <c r="D15" i="9"/>
  <c r="D21" i="8"/>
  <c r="D25" i="8" s="1"/>
  <c r="B55" i="10"/>
  <c r="B42" i="7"/>
  <c r="B37" i="7"/>
  <c r="N39" i="6"/>
  <c r="N39" i="7"/>
  <c r="G43" i="6"/>
  <c r="G35" i="6"/>
  <c r="G36" i="6" s="1"/>
  <c r="G44" i="6" s="1"/>
  <c r="C42" i="7"/>
  <c r="N119" i="10"/>
  <c r="N39" i="10"/>
  <c r="D94" i="10"/>
  <c r="D45" i="7"/>
  <c r="M55" i="10"/>
  <c r="M37" i="7"/>
  <c r="M20" i="7"/>
  <c r="M38" i="7" s="1"/>
  <c r="U118" i="10"/>
  <c r="S19" i="7"/>
  <c r="H38" i="10"/>
  <c r="G55" i="10"/>
  <c r="G37" i="7"/>
  <c r="G42" i="7"/>
  <c r="G20" i="7"/>
  <c r="G38" i="7" s="1"/>
  <c r="O20" i="10"/>
  <c r="O24" i="10" s="1"/>
  <c r="Q55" i="10"/>
  <c r="Q37" i="7"/>
  <c r="Q42" i="7"/>
  <c r="Q20" i="7"/>
  <c r="Q38" i="7" s="1"/>
  <c r="J27" i="4"/>
  <c r="J26" i="4"/>
  <c r="T38" i="10"/>
  <c r="C126" i="10"/>
  <c r="C75" i="10"/>
  <c r="Q39" i="10"/>
  <c r="Q119" i="10"/>
  <c r="G49" i="10"/>
  <c r="G51" i="10" s="1"/>
  <c r="H47" i="10"/>
  <c r="U38" i="10"/>
  <c r="B87" i="10"/>
  <c r="B32" i="10"/>
  <c r="B98" i="10" s="1"/>
  <c r="B34" i="10"/>
  <c r="E37" i="7"/>
  <c r="E55" i="10"/>
  <c r="E42" i="7"/>
  <c r="E20" i="7"/>
  <c r="E38" i="7" s="1"/>
  <c r="F42" i="7"/>
  <c r="T19" i="7"/>
  <c r="O16" i="7"/>
  <c r="O15" i="7"/>
  <c r="O17" i="7"/>
  <c r="E38" i="10"/>
  <c r="P39" i="6"/>
  <c r="P39" i="7"/>
  <c r="G38" i="10"/>
  <c r="M13" i="6"/>
  <c r="M23" i="6" s="1"/>
  <c r="M118" i="10"/>
  <c r="M20" i="10"/>
  <c r="M24" i="10" s="1"/>
  <c r="O13" i="6"/>
  <c r="O23" i="6" s="1"/>
  <c r="H55" i="10"/>
  <c r="H37" i="7"/>
  <c r="H42" i="7"/>
  <c r="H20" i="7"/>
  <c r="H38" i="7" s="1"/>
  <c r="K13" i="6"/>
  <c r="K23" i="6" s="1"/>
  <c r="J38" i="10"/>
  <c r="I118" i="10"/>
  <c r="N42" i="7"/>
  <c r="U35" i="6"/>
  <c r="U36" i="6" s="1"/>
  <c r="U44" i="6" s="1"/>
  <c r="U43" i="6"/>
  <c r="U19" i="7"/>
  <c r="L38" i="10"/>
  <c r="S118" i="10"/>
  <c r="L19" i="7"/>
  <c r="M42" i="7" s="1"/>
  <c r="G62" i="10"/>
  <c r="E118" i="10"/>
  <c r="H118" i="10"/>
  <c r="K15" i="7"/>
  <c r="K17" i="7"/>
  <c r="K16" i="7"/>
  <c r="C125" i="10"/>
  <c r="C29" i="10"/>
  <c r="I35" i="6"/>
  <c r="I36" i="6" s="1"/>
  <c r="I44" i="6" s="1"/>
  <c r="I43" i="6"/>
  <c r="I19" i="7"/>
  <c r="P38" i="10"/>
  <c r="R39" i="6"/>
  <c r="R39" i="7"/>
  <c r="G118" i="10"/>
  <c r="C26" i="8"/>
  <c r="C28" i="8" s="1"/>
  <c r="M94" i="10" l="1"/>
  <c r="M45" i="7"/>
  <c r="H39" i="6"/>
  <c r="H39" i="7"/>
  <c r="O38" i="10"/>
  <c r="G94" i="10"/>
  <c r="G45" i="7"/>
  <c r="C94" i="10"/>
  <c r="C45" i="7"/>
  <c r="D28" i="8"/>
  <c r="D26" i="8"/>
  <c r="D27" i="8" s="1"/>
  <c r="K27" i="4"/>
  <c r="K26" i="4"/>
  <c r="R119" i="10"/>
  <c r="R39" i="10"/>
  <c r="Q39" i="6"/>
  <c r="Q39" i="7"/>
  <c r="G39" i="6"/>
  <c r="G39" i="7"/>
  <c r="S55" i="10"/>
  <c r="S37" i="7"/>
  <c r="S42" i="7"/>
  <c r="S20" i="7"/>
  <c r="S38" i="7" s="1"/>
  <c r="M39" i="6"/>
  <c r="M39" i="7"/>
  <c r="E109" i="10"/>
  <c r="E110" i="10" s="1"/>
  <c r="E14" i="9"/>
  <c r="D67" i="10"/>
  <c r="M22" i="4"/>
  <c r="L25" i="4"/>
  <c r="L24" i="4"/>
  <c r="K118" i="10"/>
  <c r="H62" i="10"/>
  <c r="U55" i="10"/>
  <c r="U37" i="7"/>
  <c r="U42" i="7"/>
  <c r="U20" i="7"/>
  <c r="U38" i="7" s="1"/>
  <c r="V42" i="7"/>
  <c r="K35" i="6"/>
  <c r="K36" i="6" s="1"/>
  <c r="K44" i="6" s="1"/>
  <c r="K43" i="6"/>
  <c r="M43" i="6"/>
  <c r="M35" i="6"/>
  <c r="M36" i="6" s="1"/>
  <c r="M44" i="6" s="1"/>
  <c r="F94" i="10"/>
  <c r="F45" i="7"/>
  <c r="E39" i="6"/>
  <c r="E39" i="7"/>
  <c r="Q94" i="10"/>
  <c r="Q45" i="7"/>
  <c r="O19" i="7"/>
  <c r="B63" i="10"/>
  <c r="B36" i="10"/>
  <c r="I55" i="10"/>
  <c r="I37" i="7"/>
  <c r="I42" i="7"/>
  <c r="J42" i="7"/>
  <c r="I20" i="7"/>
  <c r="I38" i="7" s="1"/>
  <c r="C91" i="10"/>
  <c r="C31" i="10"/>
  <c r="N94" i="10"/>
  <c r="N45" i="7"/>
  <c r="O35" i="6"/>
  <c r="O36" i="6" s="1"/>
  <c r="O44" i="6" s="1"/>
  <c r="O43" i="6"/>
  <c r="G39" i="10"/>
  <c r="G119" i="10"/>
  <c r="E119" i="10"/>
  <c r="E39" i="10"/>
  <c r="T55" i="10"/>
  <c r="T37" i="7"/>
  <c r="T42" i="7"/>
  <c r="T20" i="7"/>
  <c r="T38" i="7" s="1"/>
  <c r="E94" i="10"/>
  <c r="E45" i="7"/>
  <c r="I47" i="10"/>
  <c r="H49" i="10"/>
  <c r="H51" i="10" s="1"/>
  <c r="B39" i="6"/>
  <c r="D125" i="10"/>
  <c r="D29" i="10"/>
  <c r="E32" i="8"/>
  <c r="F11" i="8"/>
  <c r="I119" i="10"/>
  <c r="I39" i="10"/>
  <c r="S39" i="10"/>
  <c r="S119" i="10"/>
  <c r="K38" i="10"/>
  <c r="R40" i="6"/>
  <c r="R49" i="7"/>
  <c r="P39" i="10"/>
  <c r="P119" i="10"/>
  <c r="U119" i="10"/>
  <c r="U39" i="10"/>
  <c r="C27" i="8"/>
  <c r="K19" i="7"/>
  <c r="J119" i="10"/>
  <c r="J39" i="10"/>
  <c r="L55" i="10"/>
  <c r="L37" i="7"/>
  <c r="L42" i="7"/>
  <c r="L20" i="7"/>
  <c r="L38" i="7" s="1"/>
  <c r="L119" i="10"/>
  <c r="L39" i="10"/>
  <c r="H94" i="10"/>
  <c r="H45" i="7"/>
  <c r="M38" i="10"/>
  <c r="T39" i="10"/>
  <c r="T119" i="10"/>
  <c r="O118" i="10"/>
  <c r="H39" i="10"/>
  <c r="H119" i="10"/>
  <c r="D49" i="7"/>
  <c r="D40" i="6"/>
  <c r="B94" i="10"/>
  <c r="B96" i="10" s="1"/>
  <c r="B99" i="10" s="1"/>
  <c r="B112" i="10" s="1"/>
  <c r="B45" i="7"/>
  <c r="E17" i="8"/>
  <c r="B56" i="10" l="1"/>
  <c r="B57" i="10" s="1"/>
  <c r="B59" i="10" s="1"/>
  <c r="S94" i="10"/>
  <c r="S45" i="7"/>
  <c r="C49" i="7"/>
  <c r="C40" i="6"/>
  <c r="L94" i="10"/>
  <c r="L45" i="7"/>
  <c r="I49" i="10"/>
  <c r="I51" i="10" s="1"/>
  <c r="J47" i="10"/>
  <c r="T94" i="10"/>
  <c r="T45" i="7"/>
  <c r="N49" i="7"/>
  <c r="N40" i="6"/>
  <c r="I39" i="6"/>
  <c r="I39" i="7"/>
  <c r="N22" i="4"/>
  <c r="M25" i="4"/>
  <c r="M24" i="4"/>
  <c r="D46" i="6"/>
  <c r="D48" i="6" s="1"/>
  <c r="D12" i="9" s="1"/>
  <c r="D17" i="9" s="1"/>
  <c r="D24" i="8"/>
  <c r="M39" i="10"/>
  <c r="M119" i="10"/>
  <c r="L39" i="6"/>
  <c r="L39" i="7"/>
  <c r="T39" i="6"/>
  <c r="T39" i="7"/>
  <c r="Q49" i="7"/>
  <c r="Q40" i="6"/>
  <c r="F49" i="7"/>
  <c r="F40" i="6"/>
  <c r="V94" i="10"/>
  <c r="V45" i="7"/>
  <c r="D68" i="10"/>
  <c r="D75" i="10" s="1"/>
  <c r="D72" i="10"/>
  <c r="D73" i="10" s="1"/>
  <c r="S39" i="6"/>
  <c r="S39" i="7"/>
  <c r="O39" i="10"/>
  <c r="O119" i="10"/>
  <c r="M49" i="7"/>
  <c r="M40" i="6"/>
  <c r="H49" i="7"/>
  <c r="H40" i="6"/>
  <c r="F14" i="8"/>
  <c r="F13" i="8"/>
  <c r="J94" i="10"/>
  <c r="J45" i="7"/>
  <c r="L27" i="4"/>
  <c r="L26" i="4"/>
  <c r="G40" i="6"/>
  <c r="G49" i="7"/>
  <c r="O55" i="10"/>
  <c r="O37" i="7"/>
  <c r="O42" i="7"/>
  <c r="P42" i="7"/>
  <c r="O20" i="7"/>
  <c r="O38" i="7" s="1"/>
  <c r="U39" i="6"/>
  <c r="U39" i="7"/>
  <c r="E18" i="8"/>
  <c r="E19" i="8" s="1"/>
  <c r="R46" i="6"/>
  <c r="R48" i="6" s="1"/>
  <c r="R12" i="9" s="1"/>
  <c r="R24" i="8"/>
  <c r="E49" i="7"/>
  <c r="E40" i="6"/>
  <c r="B40" i="6"/>
  <c r="B49" i="7"/>
  <c r="B50" i="7" s="1"/>
  <c r="C50" i="7" s="1"/>
  <c r="D50" i="7" s="1"/>
  <c r="E50" i="7" s="1"/>
  <c r="F50" i="7" s="1"/>
  <c r="G50" i="7" s="1"/>
  <c r="H50" i="7" s="1"/>
  <c r="K55" i="10"/>
  <c r="K37" i="7"/>
  <c r="K42" i="7"/>
  <c r="K20" i="7"/>
  <c r="K38" i="7" s="1"/>
  <c r="K39" i="10"/>
  <c r="K119" i="10"/>
  <c r="D91" i="10"/>
  <c r="D31" i="10"/>
  <c r="C34" i="10"/>
  <c r="C36" i="10" s="1"/>
  <c r="C32" i="10"/>
  <c r="C98" i="10" s="1"/>
  <c r="C87" i="10"/>
  <c r="C96" i="10" s="1"/>
  <c r="C99" i="10" s="1"/>
  <c r="C112" i="10" s="1"/>
  <c r="I94" i="10"/>
  <c r="I45" i="7"/>
  <c r="B64" i="10"/>
  <c r="U94" i="10"/>
  <c r="U45" i="7"/>
  <c r="I62" i="10"/>
  <c r="C56" i="10" l="1"/>
  <c r="C57" i="10" s="1"/>
  <c r="C59" i="10" s="1"/>
  <c r="E97" i="10"/>
  <c r="E28" i="10"/>
  <c r="E15" i="9"/>
  <c r="E16" i="9"/>
  <c r="E21" i="8"/>
  <c r="E25" i="8" s="1"/>
  <c r="I49" i="7"/>
  <c r="I40" i="6"/>
  <c r="O94" i="10"/>
  <c r="O45" i="7"/>
  <c r="G46" i="6"/>
  <c r="G48" i="6" s="1"/>
  <c r="G12" i="9" s="1"/>
  <c r="G24" i="8"/>
  <c r="M46" i="6"/>
  <c r="M48" i="6" s="1"/>
  <c r="M12" i="9" s="1"/>
  <c r="M24" i="8"/>
  <c r="U49" i="7"/>
  <c r="U40" i="6"/>
  <c r="F32" i="8"/>
  <c r="G11" i="8"/>
  <c r="F46" i="6"/>
  <c r="F48" i="6" s="1"/>
  <c r="F12" i="9" s="1"/>
  <c r="F24" i="8"/>
  <c r="T49" i="7"/>
  <c r="T40" i="6"/>
  <c r="L49" i="7"/>
  <c r="L40" i="6"/>
  <c r="I50" i="7"/>
  <c r="O39" i="6"/>
  <c r="O39" i="7"/>
  <c r="M27" i="4"/>
  <c r="M26" i="4"/>
  <c r="B46" i="6"/>
  <c r="B48" i="6" s="1"/>
  <c r="B24" i="8"/>
  <c r="J49" i="7"/>
  <c r="J40" i="6"/>
  <c r="F109" i="10"/>
  <c r="F110" i="10" s="1"/>
  <c r="F14" i="9"/>
  <c r="E67" i="10"/>
  <c r="H46" i="6"/>
  <c r="H48" i="6" s="1"/>
  <c r="H12" i="9" s="1"/>
  <c r="H24" i="8"/>
  <c r="V49" i="7"/>
  <c r="V40" i="6"/>
  <c r="Q46" i="6"/>
  <c r="Q48" i="6" s="1"/>
  <c r="Q12" i="9" s="1"/>
  <c r="Q24" i="8"/>
  <c r="N46" i="6"/>
  <c r="N48" i="6" s="1"/>
  <c r="N12" i="9" s="1"/>
  <c r="N24" i="8"/>
  <c r="J49" i="10"/>
  <c r="J51" i="10" s="1"/>
  <c r="K47" i="10"/>
  <c r="C46" i="6"/>
  <c r="C48" i="6" s="1"/>
  <c r="C12" i="9" s="1"/>
  <c r="C17" i="9" s="1"/>
  <c r="C24" i="8"/>
  <c r="B122" i="10"/>
  <c r="B79" i="10"/>
  <c r="S49" i="7"/>
  <c r="S40" i="6"/>
  <c r="E46" i="6"/>
  <c r="E48" i="6" s="1"/>
  <c r="E12" i="9" s="1"/>
  <c r="E17" i="9" s="1"/>
  <c r="E24" i="8"/>
  <c r="B64" i="11"/>
  <c r="J62" i="10"/>
  <c r="B123" i="10"/>
  <c r="B121" i="10"/>
  <c r="B77" i="10"/>
  <c r="K94" i="10"/>
  <c r="K45" i="7"/>
  <c r="C63" i="10"/>
  <c r="D87" i="10"/>
  <c r="D96" i="10" s="1"/>
  <c r="D32" i="10"/>
  <c r="D98" i="10" s="1"/>
  <c r="K39" i="6"/>
  <c r="K39" i="7"/>
  <c r="P94" i="10"/>
  <c r="P45" i="7"/>
  <c r="F17" i="8"/>
  <c r="O22" i="4"/>
  <c r="N24" i="4"/>
  <c r="N25" i="4"/>
  <c r="F18" i="8" l="1"/>
  <c r="F19" i="8"/>
  <c r="C64" i="10"/>
  <c r="G13" i="8"/>
  <c r="P22" i="4"/>
  <c r="O25" i="4"/>
  <c r="O24" i="4"/>
  <c r="K49" i="7"/>
  <c r="K40" i="6"/>
  <c r="K49" i="10"/>
  <c r="K51" i="10" s="1"/>
  <c r="L47" i="10"/>
  <c r="L46" i="6"/>
  <c r="L48" i="6" s="1"/>
  <c r="L12" i="9" s="1"/>
  <c r="L24" i="8"/>
  <c r="E26" i="8"/>
  <c r="E27" i="8" s="1"/>
  <c r="N27" i="4"/>
  <c r="N26" i="4"/>
  <c r="E125" i="10"/>
  <c r="E29" i="10"/>
  <c r="P49" i="7"/>
  <c r="P40" i="6"/>
  <c r="J50" i="7"/>
  <c r="K50" i="7" s="1"/>
  <c r="L50" i="7" s="1"/>
  <c r="M50" i="7" s="1"/>
  <c r="N50" i="7" s="1"/>
  <c r="O50" i="7" s="1"/>
  <c r="P50" i="7" s="1"/>
  <c r="Q50" i="7" s="1"/>
  <c r="R50" i="7" s="1"/>
  <c r="S50" i="7" s="1"/>
  <c r="T50" i="7" s="1"/>
  <c r="U50" i="7" s="1"/>
  <c r="V50" i="7" s="1"/>
  <c r="O40" i="6"/>
  <c r="O49" i="7"/>
  <c r="D34" i="10"/>
  <c r="D36" i="10" s="1"/>
  <c r="K62" i="10"/>
  <c r="U46" i="6"/>
  <c r="U48" i="6" s="1"/>
  <c r="U12" i="9" s="1"/>
  <c r="U24" i="8"/>
  <c r="C122" i="10"/>
  <c r="D99" i="10"/>
  <c r="D112" i="10" s="1"/>
  <c r="S46" i="6"/>
  <c r="S48" i="6" s="1"/>
  <c r="S12" i="9" s="1"/>
  <c r="S24" i="8"/>
  <c r="V46" i="6"/>
  <c r="V48" i="6" s="1"/>
  <c r="V12" i="9" s="1"/>
  <c r="V24" i="8"/>
  <c r="E68" i="10"/>
  <c r="E72" i="10"/>
  <c r="E73" i="10" s="1"/>
  <c r="J46" i="6"/>
  <c r="J48" i="6" s="1"/>
  <c r="J12" i="9" s="1"/>
  <c r="J24" i="8"/>
  <c r="B12" i="9"/>
  <c r="B17" i="9" s="1"/>
  <c r="B49" i="6"/>
  <c r="T46" i="6"/>
  <c r="T48" i="6" s="1"/>
  <c r="T12" i="9" s="1"/>
  <c r="T24" i="8"/>
  <c r="I46" i="6"/>
  <c r="I48" i="6" s="1"/>
  <c r="I12" i="9" s="1"/>
  <c r="I24" i="8"/>
  <c r="F97" i="10" l="1"/>
  <c r="F28" i="10"/>
  <c r="F16" i="9"/>
  <c r="F15" i="9"/>
  <c r="F17" i="9" s="1"/>
  <c r="F21" i="8"/>
  <c r="F25" i="8" s="1"/>
  <c r="C31" i="8"/>
  <c r="C33" i="8" s="1"/>
  <c r="C49" i="6"/>
  <c r="D49" i="6" s="1"/>
  <c r="E49" i="6" s="1"/>
  <c r="F49" i="6" s="1"/>
  <c r="G49" i="6" s="1"/>
  <c r="H49" i="6" s="1"/>
  <c r="I49" i="6" s="1"/>
  <c r="J49" i="6" s="1"/>
  <c r="B31" i="8"/>
  <c r="B33" i="8" s="1"/>
  <c r="L49" i="10"/>
  <c r="L51" i="10" s="1"/>
  <c r="M47" i="10"/>
  <c r="G109" i="10"/>
  <c r="G110" i="10" s="1"/>
  <c r="G14" i="9"/>
  <c r="F67" i="10"/>
  <c r="C121" i="10"/>
  <c r="C77" i="10"/>
  <c r="C79" i="10" s="1"/>
  <c r="C123" i="10"/>
  <c r="B18" i="9"/>
  <c r="E75" i="10"/>
  <c r="L62" i="10"/>
  <c r="O46" i="6"/>
  <c r="O48" i="6" s="1"/>
  <c r="O12" i="9" s="1"/>
  <c r="O24" i="8"/>
  <c r="E91" i="10"/>
  <c r="E31" i="10"/>
  <c r="O27" i="4"/>
  <c r="O26" i="4"/>
  <c r="G14" i="8"/>
  <c r="D63" i="10"/>
  <c r="D56" i="10"/>
  <c r="D57" i="10" s="1"/>
  <c r="P46" i="6"/>
  <c r="P48" i="6" s="1"/>
  <c r="P12" i="9" s="1"/>
  <c r="P24" i="8"/>
  <c r="E28" i="8"/>
  <c r="K46" i="6"/>
  <c r="K48" i="6" s="1"/>
  <c r="K24" i="8"/>
  <c r="D31" i="8" s="1"/>
  <c r="D33" i="8" s="1"/>
  <c r="Q22" i="4"/>
  <c r="P24" i="4"/>
  <c r="P25" i="4"/>
  <c r="F26" i="8" l="1"/>
  <c r="F28" i="8"/>
  <c r="M62" i="10"/>
  <c r="K12" i="9"/>
  <c r="B53" i="6"/>
  <c r="B52" i="6"/>
  <c r="G31" i="8"/>
  <c r="H11" i="8"/>
  <c r="G32" i="8"/>
  <c r="G33" i="8" s="1"/>
  <c r="G17" i="8"/>
  <c r="E31" i="8"/>
  <c r="E33" i="8" s="1"/>
  <c r="F68" i="10"/>
  <c r="F75" i="10" s="1"/>
  <c r="F72" i="10"/>
  <c r="F73" i="10" s="1"/>
  <c r="M49" i="10"/>
  <c r="M51" i="10" s="1"/>
  <c r="N47" i="10"/>
  <c r="K49" i="6"/>
  <c r="F125" i="10"/>
  <c r="F29" i="10"/>
  <c r="P27" i="4"/>
  <c r="P26" i="4"/>
  <c r="E87" i="10"/>
  <c r="E96" i="10" s="1"/>
  <c r="E32" i="10"/>
  <c r="E98" i="10" s="1"/>
  <c r="R22" i="4"/>
  <c r="Q25" i="4"/>
  <c r="Q24" i="4"/>
  <c r="D59" i="10"/>
  <c r="D126" i="10"/>
  <c r="C18" i="9"/>
  <c r="D18" i="9" s="1"/>
  <c r="E18" i="9" s="1"/>
  <c r="F18" i="9" s="1"/>
  <c r="D64" i="10"/>
  <c r="F31" i="8"/>
  <c r="F33" i="8" s="1"/>
  <c r="Q27" i="4" l="1"/>
  <c r="Q26" i="4"/>
  <c r="E34" i="10"/>
  <c r="D121" i="10"/>
  <c r="D77" i="10"/>
  <c r="D123" i="10"/>
  <c r="S22" i="4"/>
  <c r="R24" i="4"/>
  <c r="R25" i="4"/>
  <c r="E99" i="10"/>
  <c r="E112" i="10" s="1"/>
  <c r="G19" i="8"/>
  <c r="G18" i="8"/>
  <c r="B37" i="11"/>
  <c r="B14" i="11"/>
  <c r="N62" i="10"/>
  <c r="F27" i="8"/>
  <c r="N49" i="10"/>
  <c r="N51" i="10" s="1"/>
  <c r="O47" i="10"/>
  <c r="F91" i="10"/>
  <c r="F31" i="10"/>
  <c r="H14" i="8"/>
  <c r="H13" i="8"/>
  <c r="D122" i="10"/>
  <c r="D79" i="10"/>
  <c r="L49" i="6"/>
  <c r="M49" i="6" s="1"/>
  <c r="N49" i="6" s="1"/>
  <c r="O49" i="6" s="1"/>
  <c r="P49" i="6" s="1"/>
  <c r="Q49" i="6" s="1"/>
  <c r="R49" i="6" s="1"/>
  <c r="S49" i="6" s="1"/>
  <c r="T49" i="6" s="1"/>
  <c r="U49" i="6" s="1"/>
  <c r="V49" i="6" s="1"/>
  <c r="B54" i="6"/>
  <c r="B16" i="11" s="1"/>
  <c r="B15" i="11"/>
  <c r="H32" i="8" l="1"/>
  <c r="H31" i="8"/>
  <c r="I11" i="8"/>
  <c r="G97" i="10"/>
  <c r="G28" i="10"/>
  <c r="G16" i="9"/>
  <c r="G15" i="9"/>
  <c r="G17" i="9" s="1"/>
  <c r="G21" i="8"/>
  <c r="G25" i="8" s="1"/>
  <c r="T22" i="4"/>
  <c r="S25" i="4"/>
  <c r="S24" i="4"/>
  <c r="O62" i="10"/>
  <c r="H17" i="8"/>
  <c r="F87" i="10"/>
  <c r="F96" i="10" s="1"/>
  <c r="F32" i="10"/>
  <c r="F98" i="10" s="1"/>
  <c r="O49" i="10"/>
  <c r="O51" i="10" s="1"/>
  <c r="P47" i="10"/>
  <c r="R26" i="4"/>
  <c r="R27" i="4"/>
  <c r="E36" i="10"/>
  <c r="E120" i="10"/>
  <c r="E63" i="10"/>
  <c r="H109" i="10"/>
  <c r="H110" i="10" s="1"/>
  <c r="H14" i="9"/>
  <c r="G67" i="10"/>
  <c r="E56" i="10"/>
  <c r="G68" i="10" l="1"/>
  <c r="G72" i="10"/>
  <c r="G73" i="10" s="1"/>
  <c r="F63" i="10"/>
  <c r="E64" i="10"/>
  <c r="G26" i="8"/>
  <c r="G28" i="8"/>
  <c r="G27" i="8"/>
  <c r="E57" i="10"/>
  <c r="E124" i="10"/>
  <c r="P49" i="10"/>
  <c r="P51" i="10" s="1"/>
  <c r="Q47" i="10"/>
  <c r="F99" i="10"/>
  <c r="F112" i="10" s="1"/>
  <c r="S27" i="4"/>
  <c r="S26" i="4"/>
  <c r="G18" i="9"/>
  <c r="H33" i="8"/>
  <c r="H18" i="8"/>
  <c r="H19" i="8" s="1"/>
  <c r="F34" i="10"/>
  <c r="P62" i="10"/>
  <c r="U22" i="4"/>
  <c r="T25" i="4"/>
  <c r="T24" i="4"/>
  <c r="G125" i="10"/>
  <c r="G29" i="10"/>
  <c r="I14" i="8"/>
  <c r="I13" i="8"/>
  <c r="H97" i="10" l="1"/>
  <c r="H16" i="9"/>
  <c r="H28" i="10"/>
  <c r="H15" i="9"/>
  <c r="H21" i="8"/>
  <c r="H25" i="8" s="1"/>
  <c r="J11" i="8"/>
  <c r="I32" i="8"/>
  <c r="I31" i="8"/>
  <c r="Q62" i="10"/>
  <c r="I17" i="8"/>
  <c r="F36" i="10"/>
  <c r="F120" i="10"/>
  <c r="G91" i="10"/>
  <c r="G31" i="10"/>
  <c r="G75" i="10"/>
  <c r="T27" i="4"/>
  <c r="T26" i="4"/>
  <c r="Q49" i="10"/>
  <c r="Q51" i="10" s="1"/>
  <c r="R47" i="10"/>
  <c r="F64" i="10"/>
  <c r="V22" i="4"/>
  <c r="U25" i="4"/>
  <c r="U24" i="4"/>
  <c r="I109" i="10"/>
  <c r="I110" i="10" s="1"/>
  <c r="I14" i="9"/>
  <c r="H67" i="10"/>
  <c r="F56" i="10"/>
  <c r="E59" i="10"/>
  <c r="E126" i="10"/>
  <c r="E123" i="10"/>
  <c r="E77" i="10"/>
  <c r="E121" i="10"/>
  <c r="I19" i="8" l="1"/>
  <c r="I18" i="8"/>
  <c r="H68" i="10"/>
  <c r="H72" i="10"/>
  <c r="H73" i="10" s="1"/>
  <c r="U27" i="4"/>
  <c r="U26" i="4"/>
  <c r="G87" i="10"/>
  <c r="G96" i="10" s="1"/>
  <c r="G99" i="10" s="1"/>
  <c r="G112" i="10" s="1"/>
  <c r="G34" i="10"/>
  <c r="G32" i="10"/>
  <c r="G98" i="10" s="1"/>
  <c r="R62" i="10"/>
  <c r="J14" i="8"/>
  <c r="J13" i="8"/>
  <c r="H17" i="9"/>
  <c r="H125" i="10"/>
  <c r="H29" i="10"/>
  <c r="E122" i="10"/>
  <c r="E79" i="10"/>
  <c r="F123" i="10"/>
  <c r="F121" i="10"/>
  <c r="F77" i="10"/>
  <c r="F57" i="10"/>
  <c r="F124" i="10"/>
  <c r="B31" i="11"/>
  <c r="B32" i="11" s="1"/>
  <c r="V24" i="4"/>
  <c r="V25" i="4"/>
  <c r="R49" i="10"/>
  <c r="R51" i="10" s="1"/>
  <c r="S47" i="10"/>
  <c r="I33" i="8"/>
  <c r="H27" i="8"/>
  <c r="H26" i="8"/>
  <c r="H28" i="8" s="1"/>
  <c r="J32" i="8" l="1"/>
  <c r="J31" i="8"/>
  <c r="K11" i="8"/>
  <c r="G36" i="10"/>
  <c r="G120" i="10"/>
  <c r="G63" i="10"/>
  <c r="I97" i="10"/>
  <c r="I28" i="10"/>
  <c r="I15" i="9"/>
  <c r="I17" i="9" s="1"/>
  <c r="I16" i="9"/>
  <c r="I21" i="8"/>
  <c r="I25" i="8" s="1"/>
  <c r="F59" i="10"/>
  <c r="F126" i="10"/>
  <c r="G56" i="10"/>
  <c r="S49" i="10"/>
  <c r="S51" i="10" s="1"/>
  <c r="T47" i="10"/>
  <c r="J109" i="10"/>
  <c r="J110" i="10" s="1"/>
  <c r="J14" i="9"/>
  <c r="I67" i="10"/>
  <c r="H75" i="10"/>
  <c r="B49" i="11"/>
  <c r="B33" i="11"/>
  <c r="H18" i="9"/>
  <c r="S62" i="10"/>
  <c r="H91" i="10"/>
  <c r="H31" i="10"/>
  <c r="J17" i="8"/>
  <c r="G57" i="10" l="1"/>
  <c r="G124" i="10"/>
  <c r="I68" i="10"/>
  <c r="I72" i="10"/>
  <c r="I73" i="10" s="1"/>
  <c r="U47" i="10"/>
  <c r="T49" i="10"/>
  <c r="T51" i="10" s="1"/>
  <c r="I125" i="10"/>
  <c r="I29" i="10"/>
  <c r="J33" i="8"/>
  <c r="H87" i="10"/>
  <c r="H96" i="10" s="1"/>
  <c r="H99" i="10" s="1"/>
  <c r="H112" i="10" s="1"/>
  <c r="H32" i="10"/>
  <c r="H98" i="10" s="1"/>
  <c r="T62" i="10"/>
  <c r="I26" i="8"/>
  <c r="J18" i="8"/>
  <c r="J19" i="8"/>
  <c r="I18" i="9"/>
  <c r="F122" i="10"/>
  <c r="F79" i="10"/>
  <c r="G64" i="10"/>
  <c r="K13" i="8"/>
  <c r="H56" i="10" l="1"/>
  <c r="J97" i="10"/>
  <c r="J16" i="9"/>
  <c r="J15" i="9"/>
  <c r="J17" i="9" s="1"/>
  <c r="J28" i="10"/>
  <c r="J21" i="8"/>
  <c r="J25" i="8" s="1"/>
  <c r="U49" i="10"/>
  <c r="U51" i="10" s="1"/>
  <c r="V47" i="10"/>
  <c r="V49" i="10" s="1"/>
  <c r="V51" i="10" s="1"/>
  <c r="G59" i="10"/>
  <c r="G126" i="10"/>
  <c r="I91" i="10"/>
  <c r="I31" i="10"/>
  <c r="K109" i="10"/>
  <c r="K110" i="10" s="1"/>
  <c r="K14" i="9"/>
  <c r="J67" i="10"/>
  <c r="J18" i="9"/>
  <c r="K14" i="8"/>
  <c r="I28" i="8"/>
  <c r="U62" i="10"/>
  <c r="G121" i="10"/>
  <c r="G123" i="10"/>
  <c r="G77" i="10"/>
  <c r="I27" i="8"/>
  <c r="H34" i="10"/>
  <c r="I75" i="10"/>
  <c r="J125" i="10" l="1"/>
  <c r="J29" i="10"/>
  <c r="H36" i="10"/>
  <c r="H120" i="10"/>
  <c r="H63" i="10"/>
  <c r="H57" i="10"/>
  <c r="H124" i="10"/>
  <c r="K32" i="8"/>
  <c r="K31" i="8"/>
  <c r="L11" i="8"/>
  <c r="K17" i="8"/>
  <c r="J68" i="10"/>
  <c r="J72" i="10"/>
  <c r="J73" i="10" s="1"/>
  <c r="G122" i="10"/>
  <c r="G79" i="10"/>
  <c r="V62" i="10"/>
  <c r="I87" i="10"/>
  <c r="I96" i="10" s="1"/>
  <c r="I99" i="10" s="1"/>
  <c r="I112" i="10" s="1"/>
  <c r="I34" i="10"/>
  <c r="I32" i="10"/>
  <c r="I98" i="10" s="1"/>
  <c r="J27" i="8"/>
  <c r="J28" i="8"/>
  <c r="J26" i="8"/>
  <c r="I36" i="10" l="1"/>
  <c r="I120" i="10"/>
  <c r="L13" i="8"/>
  <c r="J91" i="10"/>
  <c r="J31" i="10"/>
  <c r="I56" i="10"/>
  <c r="J75" i="10"/>
  <c r="I63" i="10"/>
  <c r="H64" i="10"/>
  <c r="K19" i="8"/>
  <c r="K18" i="8"/>
  <c r="K33" i="8"/>
  <c r="H59" i="10"/>
  <c r="H126" i="10"/>
  <c r="K97" i="10" l="1"/>
  <c r="K28" i="10"/>
  <c r="K16" i="9"/>
  <c r="K15" i="9"/>
  <c r="K17" i="9" s="1"/>
  <c r="K18" i="9" s="1"/>
  <c r="K21" i="8"/>
  <c r="K25" i="8" s="1"/>
  <c r="L109" i="10"/>
  <c r="L110" i="10" s="1"/>
  <c r="L14" i="9"/>
  <c r="K67" i="10"/>
  <c r="H122" i="10"/>
  <c r="H79" i="10"/>
  <c r="H121" i="10"/>
  <c r="H123" i="10"/>
  <c r="H77" i="10"/>
  <c r="I57" i="10"/>
  <c r="I124" i="10"/>
  <c r="I64" i="10"/>
  <c r="J32" i="10"/>
  <c r="J98" i="10" s="1"/>
  <c r="J87" i="10"/>
  <c r="J96" i="10" s="1"/>
  <c r="J99" i="10" s="1"/>
  <c r="J112" i="10" s="1"/>
  <c r="J34" i="10"/>
  <c r="L14" i="8"/>
  <c r="L32" i="8" l="1"/>
  <c r="L31" i="8"/>
  <c r="M11" i="8"/>
  <c r="L17" i="8"/>
  <c r="I123" i="10"/>
  <c r="I121" i="10"/>
  <c r="I77" i="10"/>
  <c r="J36" i="10"/>
  <c r="J120" i="10"/>
  <c r="J63" i="10"/>
  <c r="I59" i="10"/>
  <c r="I126" i="10"/>
  <c r="J56" i="10"/>
  <c r="K125" i="10"/>
  <c r="K29" i="10"/>
  <c r="K68" i="10"/>
  <c r="K72" i="10"/>
  <c r="K73" i="10" s="1"/>
  <c r="K26" i="8"/>
  <c r="K28" i="8" s="1"/>
  <c r="J57" i="10" l="1"/>
  <c r="J124" i="10"/>
  <c r="I79" i="10"/>
  <c r="I122" i="10"/>
  <c r="L18" i="8"/>
  <c r="L19" i="8"/>
  <c r="L33" i="8"/>
  <c r="B38" i="8" s="1"/>
  <c r="B26" i="11" s="1"/>
  <c r="K27" i="8"/>
  <c r="K75" i="10"/>
  <c r="J64" i="10"/>
  <c r="K91" i="10"/>
  <c r="K31" i="10"/>
  <c r="M13" i="8"/>
  <c r="L97" i="10" l="1"/>
  <c r="L16" i="9"/>
  <c r="L28" i="10"/>
  <c r="L15" i="9"/>
  <c r="L17" i="9" s="1"/>
  <c r="L18" i="9" s="1"/>
  <c r="L21" i="8"/>
  <c r="L25" i="8" s="1"/>
  <c r="K87" i="10"/>
  <c r="K96" i="10" s="1"/>
  <c r="K32" i="10"/>
  <c r="K98" i="10" s="1"/>
  <c r="J59" i="10"/>
  <c r="J126" i="10"/>
  <c r="M109" i="10"/>
  <c r="M110" i="10" s="1"/>
  <c r="M14" i="9"/>
  <c r="L67" i="10"/>
  <c r="M14" i="8"/>
  <c r="J123" i="10"/>
  <c r="J121" i="10"/>
  <c r="J77" i="10"/>
  <c r="K34" i="10" l="1"/>
  <c r="L125" i="10"/>
  <c r="L29" i="10"/>
  <c r="L68" i="10"/>
  <c r="L72" i="10"/>
  <c r="L73" i="10" s="1"/>
  <c r="K99" i="10"/>
  <c r="K112" i="10" s="1"/>
  <c r="M31" i="8"/>
  <c r="N11" i="8"/>
  <c r="M32" i="8"/>
  <c r="M33" i="8" s="1"/>
  <c r="B39" i="8" s="1"/>
  <c r="B27" i="11" s="1"/>
  <c r="M17" i="8"/>
  <c r="J122" i="10"/>
  <c r="J79" i="10"/>
  <c r="L26" i="8"/>
  <c r="L28" i="8" s="1"/>
  <c r="K56" i="10" l="1"/>
  <c r="L91" i="10"/>
  <c r="L31" i="10"/>
  <c r="L27" i="8"/>
  <c r="N13" i="8"/>
  <c r="N14" i="8" s="1"/>
  <c r="M19" i="8"/>
  <c r="M18" i="8"/>
  <c r="L75" i="10"/>
  <c r="K36" i="10"/>
  <c r="K120" i="10"/>
  <c r="K63" i="10"/>
  <c r="N32" i="8" l="1"/>
  <c r="N33" i="8" s="1"/>
  <c r="O11" i="8"/>
  <c r="N17" i="8"/>
  <c r="L87" i="10"/>
  <c r="L96" i="10" s="1"/>
  <c r="L32" i="10"/>
  <c r="L98" i="10" s="1"/>
  <c r="K64" i="10"/>
  <c r="M97" i="10"/>
  <c r="M28" i="10"/>
  <c r="M15" i="9"/>
  <c r="M16" i="9"/>
  <c r="M21" i="8"/>
  <c r="M25" i="8" s="1"/>
  <c r="K57" i="10"/>
  <c r="K124" i="10"/>
  <c r="N109" i="10"/>
  <c r="N110" i="10" s="1"/>
  <c r="N14" i="9"/>
  <c r="M67" i="10"/>
  <c r="M125" i="10" l="1"/>
  <c r="M29" i="10"/>
  <c r="M26" i="8"/>
  <c r="M28" i="8" s="1"/>
  <c r="M27" i="8"/>
  <c r="L34" i="10"/>
  <c r="O13" i="8"/>
  <c r="K59" i="10"/>
  <c r="K126" i="10"/>
  <c r="K121" i="10"/>
  <c r="K77" i="10"/>
  <c r="K123" i="10"/>
  <c r="L99" i="10"/>
  <c r="L112" i="10" s="1"/>
  <c r="M68" i="10"/>
  <c r="M72" i="10"/>
  <c r="M73" i="10" s="1"/>
  <c r="M17" i="9"/>
  <c r="M18" i="9" s="1"/>
  <c r="N18" i="8"/>
  <c r="N19" i="8" s="1"/>
  <c r="N97" i="10" l="1"/>
  <c r="N16" i="9"/>
  <c r="N15" i="9"/>
  <c r="N17" i="9" s="1"/>
  <c r="N28" i="10"/>
  <c r="N21" i="8"/>
  <c r="N25" i="8" s="1"/>
  <c r="L36" i="10"/>
  <c r="L120" i="10"/>
  <c r="L63" i="10"/>
  <c r="L56" i="10"/>
  <c r="N18" i="9"/>
  <c r="K122" i="10"/>
  <c r="K79" i="10"/>
  <c r="M91" i="10"/>
  <c r="M31" i="10"/>
  <c r="O109" i="10"/>
  <c r="O110" i="10" s="1"/>
  <c r="O14" i="9"/>
  <c r="N67" i="10"/>
  <c r="M75" i="10"/>
  <c r="O14" i="8"/>
  <c r="B36" i="8"/>
  <c r="B37" i="8"/>
  <c r="B25" i="11" s="1"/>
  <c r="B48" i="11" l="1"/>
  <c r="B24" i="11"/>
  <c r="L57" i="10"/>
  <c r="L124" i="10"/>
  <c r="N68" i="10"/>
  <c r="N72" i="10"/>
  <c r="N73" i="10" s="1"/>
  <c r="M87" i="10"/>
  <c r="M96" i="10" s="1"/>
  <c r="M32" i="10"/>
  <c r="M98" i="10" s="1"/>
  <c r="L64" i="10"/>
  <c r="N125" i="10"/>
  <c r="N29" i="10"/>
  <c r="P11" i="8"/>
  <c r="O32" i="8"/>
  <c r="O33" i="8" s="1"/>
  <c r="O17" i="8"/>
  <c r="N26" i="8"/>
  <c r="N27" i="8" s="1"/>
  <c r="N91" i="10" l="1"/>
  <c r="N31" i="10"/>
  <c r="N75" i="10"/>
  <c r="N28" i="8"/>
  <c r="O18" i="8"/>
  <c r="O19" i="8" s="1"/>
  <c r="L121" i="10"/>
  <c r="L77" i="10"/>
  <c r="L123" i="10"/>
  <c r="M99" i="10"/>
  <c r="M112" i="10" s="1"/>
  <c r="L59" i="10"/>
  <c r="L126" i="10"/>
  <c r="P14" i="8"/>
  <c r="P17" i="8"/>
  <c r="P13" i="8"/>
  <c r="M34" i="10"/>
  <c r="O97" i="10" l="1"/>
  <c r="O28" i="10"/>
  <c r="O16" i="9"/>
  <c r="O15" i="9"/>
  <c r="O17" i="9" s="1"/>
  <c r="O18" i="9" s="1"/>
  <c r="O21" i="8"/>
  <c r="O25" i="8" s="1"/>
  <c r="P18" i="8"/>
  <c r="P19" i="8" s="1"/>
  <c r="P109" i="10"/>
  <c r="P110" i="10" s="1"/>
  <c r="P14" i="9"/>
  <c r="O67" i="10"/>
  <c r="L122" i="10"/>
  <c r="L79" i="10"/>
  <c r="P32" i="8"/>
  <c r="P33" i="8" s="1"/>
  <c r="Q11" i="8"/>
  <c r="M56" i="10"/>
  <c r="N87" i="10"/>
  <c r="N96" i="10" s="1"/>
  <c r="N32" i="10"/>
  <c r="N98" i="10" s="1"/>
  <c r="M36" i="10"/>
  <c r="M120" i="10"/>
  <c r="M63" i="10"/>
  <c r="P97" i="10" l="1"/>
  <c r="P16" i="9"/>
  <c r="P28" i="10"/>
  <c r="P15" i="9"/>
  <c r="P17" i="9" s="1"/>
  <c r="P18" i="9" s="1"/>
  <c r="P21" i="8"/>
  <c r="P25" i="8" s="1"/>
  <c r="M64" i="10"/>
  <c r="N99" i="10"/>
  <c r="N112" i="10" s="1"/>
  <c r="O26" i="8"/>
  <c r="O28" i="8"/>
  <c r="O27" i="8"/>
  <c r="M57" i="10"/>
  <c r="M124" i="10"/>
  <c r="Q14" i="8"/>
  <c r="Q17" i="8" s="1"/>
  <c r="Q13" i="8"/>
  <c r="N34" i="10"/>
  <c r="O68" i="10"/>
  <c r="O75" i="10" s="1"/>
  <c r="O72" i="10"/>
  <c r="O73" i="10" s="1"/>
  <c r="O125" i="10"/>
  <c r="O29" i="10"/>
  <c r="Q18" i="8" l="1"/>
  <c r="Q19" i="8" s="1"/>
  <c r="M59" i="10"/>
  <c r="M126" i="10"/>
  <c r="N36" i="10"/>
  <c r="N120" i="10"/>
  <c r="M123" i="10"/>
  <c r="M121" i="10"/>
  <c r="M77" i="10"/>
  <c r="Q32" i="8"/>
  <c r="Q33" i="8" s="1"/>
  <c r="R11" i="8"/>
  <c r="N56" i="10"/>
  <c r="O91" i="10"/>
  <c r="O31" i="10"/>
  <c r="P125" i="10"/>
  <c r="P29" i="10"/>
  <c r="N63" i="10"/>
  <c r="Q109" i="10"/>
  <c r="Q110" i="10" s="1"/>
  <c r="Q14" i="9"/>
  <c r="P67" i="10"/>
  <c r="P26" i="8"/>
  <c r="P28" i="8" s="1"/>
  <c r="Q97" i="10" l="1"/>
  <c r="Q28" i="10"/>
  <c r="Q15" i="9"/>
  <c r="Q16" i="9"/>
  <c r="Q17" i="9" s="1"/>
  <c r="Q18" i="9" s="1"/>
  <c r="Q21" i="8"/>
  <c r="Q25" i="8" s="1"/>
  <c r="P68" i="10"/>
  <c r="P72" i="10"/>
  <c r="P73" i="10" s="1"/>
  <c r="O87" i="10"/>
  <c r="O96" i="10" s="1"/>
  <c r="O99" i="10" s="1"/>
  <c r="O112" i="10" s="1"/>
  <c r="O32" i="10"/>
  <c r="O98" i="10" s="1"/>
  <c r="P91" i="10"/>
  <c r="P31" i="10"/>
  <c r="N57" i="10"/>
  <c r="N124" i="10"/>
  <c r="P27" i="8"/>
  <c r="M122" i="10"/>
  <c r="M79" i="10"/>
  <c r="N64" i="10"/>
  <c r="R13" i="8"/>
  <c r="R109" i="10" l="1"/>
  <c r="R110" i="10" s="1"/>
  <c r="R14" i="9"/>
  <c r="Q67" i="10"/>
  <c r="N59" i="10"/>
  <c r="N126" i="10"/>
  <c r="P75" i="10"/>
  <c r="Q125" i="10"/>
  <c r="Q29" i="10"/>
  <c r="N123" i="10"/>
  <c r="N77" i="10"/>
  <c r="N121" i="10"/>
  <c r="O56" i="10"/>
  <c r="R14" i="8"/>
  <c r="P87" i="10"/>
  <c r="P96" i="10" s="1"/>
  <c r="P32" i="10"/>
  <c r="P98" i="10" s="1"/>
  <c r="O34" i="10"/>
  <c r="Q26" i="8"/>
  <c r="Q28" i="8" s="1"/>
  <c r="Q27" i="8"/>
  <c r="O57" i="10" l="1"/>
  <c r="O124" i="10"/>
  <c r="P34" i="10"/>
  <c r="Q91" i="10"/>
  <c r="Q31" i="10"/>
  <c r="N122" i="10"/>
  <c r="N79" i="10"/>
  <c r="P99" i="10"/>
  <c r="P112" i="10" s="1"/>
  <c r="O36" i="10"/>
  <c r="O120" i="10"/>
  <c r="O63" i="10"/>
  <c r="R32" i="8"/>
  <c r="R33" i="8" s="1"/>
  <c r="S11" i="8"/>
  <c r="R17" i="8"/>
  <c r="Q68" i="10"/>
  <c r="Q72" i="10"/>
  <c r="Q73" i="10" s="1"/>
  <c r="S14" i="8" l="1"/>
  <c r="S17" i="8" s="1"/>
  <c r="S13" i="8"/>
  <c r="P36" i="10"/>
  <c r="P120" i="10"/>
  <c r="R18" i="8"/>
  <c r="R19" i="8" s="1"/>
  <c r="Q87" i="10"/>
  <c r="Q96" i="10" s="1"/>
  <c r="Q32" i="10"/>
  <c r="Q98" i="10" s="1"/>
  <c r="P63" i="10"/>
  <c r="O64" i="10"/>
  <c r="Q75" i="10"/>
  <c r="P56" i="10"/>
  <c r="O59" i="10"/>
  <c r="O126" i="10"/>
  <c r="R97" i="10" l="1"/>
  <c r="R28" i="10"/>
  <c r="R16" i="9"/>
  <c r="R15" i="9"/>
  <c r="R17" i="9" s="1"/>
  <c r="R18" i="9" s="1"/>
  <c r="R21" i="8"/>
  <c r="R25" i="8" s="1"/>
  <c r="S19" i="8"/>
  <c r="S18" i="8"/>
  <c r="O122" i="10"/>
  <c r="O121" i="10"/>
  <c r="O123" i="10"/>
  <c r="O77" i="10"/>
  <c r="O79" i="10" s="1"/>
  <c r="Q34" i="10"/>
  <c r="P57" i="10"/>
  <c r="P124" i="10"/>
  <c r="Q63" i="10"/>
  <c r="P64" i="10"/>
  <c r="Q99" i="10"/>
  <c r="Q112" i="10" s="1"/>
  <c r="S109" i="10"/>
  <c r="S110" i="10" s="1"/>
  <c r="S21" i="8"/>
  <c r="S25" i="8" s="1"/>
  <c r="S14" i="9"/>
  <c r="R67" i="10"/>
  <c r="S32" i="8"/>
  <c r="S33" i="8" s="1"/>
  <c r="T11" i="8"/>
  <c r="S26" i="8" l="1"/>
  <c r="S27" i="8" s="1"/>
  <c r="S28" i="8"/>
  <c r="Q64" i="10"/>
  <c r="R125" i="10"/>
  <c r="R29" i="10"/>
  <c r="T13" i="8"/>
  <c r="R68" i="10"/>
  <c r="R72" i="10"/>
  <c r="R73" i="10" s="1"/>
  <c r="Q56" i="10"/>
  <c r="P59" i="10"/>
  <c r="P126" i="10"/>
  <c r="S97" i="10"/>
  <c r="S28" i="10"/>
  <c r="S16" i="9"/>
  <c r="S15" i="9"/>
  <c r="S17" i="9" s="1"/>
  <c r="S18" i="9" s="1"/>
  <c r="P121" i="10"/>
  <c r="P123" i="10"/>
  <c r="P77" i="10"/>
  <c r="Q36" i="10"/>
  <c r="Q120" i="10"/>
  <c r="R26" i="8"/>
  <c r="R27" i="8" s="1"/>
  <c r="R28" i="8" l="1"/>
  <c r="P79" i="10"/>
  <c r="P122" i="10"/>
  <c r="R75" i="10"/>
  <c r="R91" i="10"/>
  <c r="R31" i="10"/>
  <c r="S125" i="10"/>
  <c r="S29" i="10"/>
  <c r="Q57" i="10"/>
  <c r="Q124" i="10"/>
  <c r="Q123" i="10"/>
  <c r="Q121" i="10"/>
  <c r="Q77" i="10"/>
  <c r="T14" i="9"/>
  <c r="T109" i="10"/>
  <c r="T110" i="10" s="1"/>
  <c r="S67" i="10"/>
  <c r="T14" i="8"/>
  <c r="R87" i="10" l="1"/>
  <c r="R96" i="10" s="1"/>
  <c r="R32" i="10"/>
  <c r="R98" i="10" s="1"/>
  <c r="R34" i="10"/>
  <c r="Q59" i="10"/>
  <c r="Q126" i="10"/>
  <c r="T32" i="8"/>
  <c r="T33" i="8" s="1"/>
  <c r="U11" i="8"/>
  <c r="T17" i="8"/>
  <c r="S68" i="10"/>
  <c r="S75" i="10" s="1"/>
  <c r="S72" i="10"/>
  <c r="S73" i="10" s="1"/>
  <c r="S91" i="10"/>
  <c r="S31" i="10"/>
  <c r="S34" i="10" l="1"/>
  <c r="S32" i="10"/>
  <c r="S98" i="10" s="1"/>
  <c r="S87" i="10"/>
  <c r="S96" i="10" s="1"/>
  <c r="S99" i="10" s="1"/>
  <c r="R36" i="10"/>
  <c r="R120" i="10"/>
  <c r="R63" i="10"/>
  <c r="U13" i="8"/>
  <c r="R99" i="10"/>
  <c r="R112" i="10" s="1"/>
  <c r="T18" i="8"/>
  <c r="T19" i="8" s="1"/>
  <c r="Q122" i="10"/>
  <c r="Q79" i="10"/>
  <c r="T97" i="10" l="1"/>
  <c r="T16" i="9"/>
  <c r="T28" i="10"/>
  <c r="T15" i="9"/>
  <c r="T17" i="9" s="1"/>
  <c r="T18" i="9" s="1"/>
  <c r="T21" i="8"/>
  <c r="T25" i="8" s="1"/>
  <c r="S112" i="10"/>
  <c r="R56" i="10"/>
  <c r="U109" i="10"/>
  <c r="U110" i="10" s="1"/>
  <c r="U14" i="9"/>
  <c r="T67" i="10"/>
  <c r="S63" i="10"/>
  <c r="R64" i="10"/>
  <c r="U14" i="8"/>
  <c r="S36" i="10"/>
  <c r="S120" i="10"/>
  <c r="T68" i="10" l="1"/>
  <c r="T72" i="10"/>
  <c r="T73" i="10" s="1"/>
  <c r="R57" i="10"/>
  <c r="R124" i="10"/>
  <c r="T125" i="10"/>
  <c r="T29" i="10"/>
  <c r="S64" i="10"/>
  <c r="U67" i="10"/>
  <c r="U68" i="10" s="1"/>
  <c r="U32" i="8"/>
  <c r="U33" i="8" s="1"/>
  <c r="V11" i="8"/>
  <c r="U72" i="10"/>
  <c r="U73" i="10" s="1"/>
  <c r="U17" i="8"/>
  <c r="S56" i="10"/>
  <c r="R123" i="10"/>
  <c r="R121" i="10"/>
  <c r="R77" i="10"/>
  <c r="T27" i="8"/>
  <c r="T28" i="8"/>
  <c r="T26" i="8"/>
  <c r="R59" i="10" l="1"/>
  <c r="R126" i="10"/>
  <c r="T91" i="10"/>
  <c r="T31" i="10"/>
  <c r="U75" i="10"/>
  <c r="T75" i="10"/>
  <c r="V14" i="8"/>
  <c r="V17" i="8"/>
  <c r="U18" i="8"/>
  <c r="U19" i="8" s="1"/>
  <c r="S57" i="10"/>
  <c r="S124" i="10"/>
  <c r="S121" i="10"/>
  <c r="S77" i="10"/>
  <c r="S123" i="10"/>
  <c r="U97" i="10" l="1"/>
  <c r="U28" i="10"/>
  <c r="U15" i="9"/>
  <c r="U16" i="9"/>
  <c r="U21" i="8"/>
  <c r="U25" i="8" s="1"/>
  <c r="S59" i="10"/>
  <c r="S126" i="10"/>
  <c r="V72" i="10"/>
  <c r="V73" i="10" s="1"/>
  <c r="V32" i="8"/>
  <c r="V33" i="8" s="1"/>
  <c r="V18" i="8"/>
  <c r="V19" i="8"/>
  <c r="T87" i="10"/>
  <c r="T96" i="10" s="1"/>
  <c r="T99" i="10" s="1"/>
  <c r="T112" i="10" s="1"/>
  <c r="T34" i="10"/>
  <c r="T32" i="10"/>
  <c r="T98" i="10" s="1"/>
  <c r="R122" i="10"/>
  <c r="R79" i="10"/>
  <c r="T36" i="10" l="1"/>
  <c r="T120" i="10"/>
  <c r="T63" i="10"/>
  <c r="T56" i="10"/>
  <c r="V126" i="10"/>
  <c r="V75" i="10"/>
  <c r="U28" i="8"/>
  <c r="U26" i="8"/>
  <c r="U27" i="8"/>
  <c r="V97" i="10"/>
  <c r="V16" i="9"/>
  <c r="B38" i="11" s="1"/>
  <c r="V15" i="9"/>
  <c r="V28" i="10"/>
  <c r="V21" i="8"/>
  <c r="V25" i="8" s="1"/>
  <c r="B39" i="11"/>
  <c r="U17" i="9"/>
  <c r="U18" i="9" s="1"/>
  <c r="S122" i="10"/>
  <c r="S79" i="10"/>
  <c r="U125" i="10"/>
  <c r="U29" i="10"/>
  <c r="B41" i="11" l="1"/>
  <c r="V27" i="8"/>
  <c r="V26" i="8"/>
  <c r="V28" i="8"/>
  <c r="V125" i="10"/>
  <c r="V29" i="10"/>
  <c r="T64" i="10"/>
  <c r="U91" i="10"/>
  <c r="U31" i="10"/>
  <c r="V17" i="9"/>
  <c r="V18" i="9" s="1"/>
  <c r="B23" i="9" s="1"/>
  <c r="C16" i="11" s="1"/>
  <c r="T57" i="10"/>
  <c r="T124" i="10"/>
  <c r="T59" i="10" l="1"/>
  <c r="T126" i="10"/>
  <c r="B21" i="9"/>
  <c r="B22" i="9"/>
  <c r="T121" i="10"/>
  <c r="T77" i="10"/>
  <c r="T123" i="10"/>
  <c r="U87" i="10"/>
  <c r="U96" i="10" s="1"/>
  <c r="U99" i="10" s="1"/>
  <c r="U112" i="10" s="1"/>
  <c r="U32" i="10"/>
  <c r="U98" i="10" s="1"/>
  <c r="V91" i="10"/>
  <c r="V31" i="10"/>
  <c r="V87" i="10" l="1"/>
  <c r="V96" i="10" s="1"/>
  <c r="V99" i="10" s="1"/>
  <c r="V112" i="10" s="1"/>
  <c r="V56" i="10" s="1"/>
  <c r="V57" i="10" s="1"/>
  <c r="V59" i="10" s="1"/>
  <c r="V32" i="10"/>
  <c r="V98" i="10" s="1"/>
  <c r="C14" i="11"/>
  <c r="B42" i="11"/>
  <c r="B43" i="11" s="1"/>
  <c r="B47" i="11"/>
  <c r="U34" i="10"/>
  <c r="U56" i="10"/>
  <c r="C15" i="11"/>
  <c r="B46" i="11"/>
  <c r="T122" i="10"/>
  <c r="T79" i="10"/>
  <c r="U36" i="10" l="1"/>
  <c r="U120" i="10"/>
  <c r="U63" i="10"/>
  <c r="V34" i="10"/>
  <c r="V36" i="10" s="1"/>
  <c r="U57" i="10"/>
  <c r="U124" i="10"/>
  <c r="U59" i="10" l="1"/>
  <c r="U126" i="10"/>
  <c r="V63" i="10"/>
  <c r="V64" i="10" s="1"/>
  <c r="U64" i="10"/>
  <c r="V122" i="10"/>
  <c r="U123" i="10" l="1"/>
  <c r="U77" i="10"/>
  <c r="U121" i="10"/>
  <c r="V123" i="10"/>
  <c r="V121" i="10"/>
  <c r="V77" i="10"/>
  <c r="V79" i="10" s="1"/>
  <c r="U122" i="10"/>
  <c r="U79" i="10"/>
</calcChain>
</file>

<file path=xl/sharedStrings.xml><?xml version="1.0" encoding="utf-8"?>
<sst xmlns="http://schemas.openxmlformats.org/spreadsheetml/2006/main" count="1264" uniqueCount="877">
  <si>
    <t>MINING PROJECT FINANCIAL MODEL — MULTI-COMMODITY</t>
  </si>
  <si>
    <t>GENERAL PROJECT PARAMETERS</t>
  </si>
  <si>
    <t>Model Start Year</t>
  </si>
  <si>
    <t>Construction Period (years)</t>
  </si>
  <si>
    <t>Years</t>
  </si>
  <si>
    <t>Operating Life (years)</t>
  </si>
  <si>
    <t>Project Discount Rate (WACC)</t>
  </si>
  <si>
    <t>Cost of Equity (Ke)</t>
  </si>
  <si>
    <t>Corporate Tax Rate</t>
  </si>
  <si>
    <t>Royalty Rate (% of Revenue)</t>
  </si>
  <si>
    <t>COMMODITY TYPE &amp; PRICING</t>
  </si>
  <si>
    <t>Commodity Group</t>
  </si>
  <si>
    <t>PGMs</t>
  </si>
  <si>
    <t>Select: PGMs / Base Metals / Precious Stones / Minerals</t>
  </si>
  <si>
    <t>Primary Commodity</t>
  </si>
  <si>
    <t>Platinum</t>
  </si>
  <si>
    <t>Secondary Commodity 1</t>
  </si>
  <si>
    <t>Palladium</t>
  </si>
  <si>
    <t>Secondary Commodity 2</t>
  </si>
  <si>
    <t>Rhodium</t>
  </si>
  <si>
    <t>By-product Commodity</t>
  </si>
  <si>
    <t>Gold</t>
  </si>
  <si>
    <t>COMMODITY PRICES</t>
  </si>
  <si>
    <t>Primary Price ($/oz or $/t)</t>
  </si>
  <si>
    <t>$/oz Pt</t>
  </si>
  <si>
    <t>Secondary 1 Price</t>
  </si>
  <si>
    <t>$/oz Pd</t>
  </si>
  <si>
    <t>Secondary 2 Price</t>
  </si>
  <si>
    <t>$/oz Rh</t>
  </si>
  <si>
    <t>By-product Price</t>
  </si>
  <si>
    <t>$/oz Au</t>
  </si>
  <si>
    <t>Price Escalation (p.a.)</t>
  </si>
  <si>
    <t>MINING METHOD</t>
  </si>
  <si>
    <t>Mining Method</t>
  </si>
  <si>
    <t>Combined</t>
  </si>
  <si>
    <t>Select: Open Cast / Underground / Combined</t>
  </si>
  <si>
    <t>Open Cast Proportion of Ore (%)</t>
  </si>
  <si>
    <t>of total ore mined</t>
  </si>
  <si>
    <t>Underground Proportion of Ore (%)</t>
  </si>
  <si>
    <t>Open Cast Strip Ratio (waste:ore)</t>
  </si>
  <si>
    <t>BCM waste per t ore</t>
  </si>
  <si>
    <t>Underground Stoping Width (m)</t>
  </si>
  <si>
    <t>metres</t>
  </si>
  <si>
    <t>PRODUCTION &amp; GRADE</t>
  </si>
  <si>
    <t>Total ROM Ore Capacity (kt per annum)</t>
  </si>
  <si>
    <t>kt/a at full capacity</t>
  </si>
  <si>
    <t>Head Grade - Primary (g/t)</t>
  </si>
  <si>
    <t>g/t in ore</t>
  </si>
  <si>
    <t>Head Grade - Secondary 1 (g/t)</t>
  </si>
  <si>
    <t>Head Grade - Secondary 2 (g/t)</t>
  </si>
  <si>
    <t>Head Grade - By-product (g/t)</t>
  </si>
  <si>
    <t>Open Cast Grade Factor vs Head</t>
  </si>
  <si>
    <t>OC typically lower grade</t>
  </si>
  <si>
    <t>Underground Grade Factor vs Head</t>
  </si>
  <si>
    <t>UG typically higher grade</t>
  </si>
  <si>
    <t>PROCESSING ROUTE</t>
  </si>
  <si>
    <t>Processing Route</t>
  </si>
  <si>
    <t>Concentration + Smelting</t>
  </si>
  <si>
    <t>Concentration / Washing / Conc+Smelting / Heap Leach</t>
  </si>
  <si>
    <t>Concentration Mass Pull (%)</t>
  </si>
  <si>
    <t>% of ROM ore reporting to concentrate</t>
  </si>
  <si>
    <t>Concentration Recovery - Primary</t>
  </si>
  <si>
    <t>Concentration Recovery - Secondary 1</t>
  </si>
  <si>
    <t>Concentration Recovery - Secondary 2</t>
  </si>
  <si>
    <t>Concentration Recovery - By-product</t>
  </si>
  <si>
    <t>Smelter/Refinery Recovery (overall)</t>
  </si>
  <si>
    <t>Applied after concentration</t>
  </si>
  <si>
    <t>Concentrate Grade Upgrade Factor</t>
  </si>
  <si>
    <t>Grade in conc vs ROM (≈1/mass pull)</t>
  </si>
  <si>
    <t>RAMP-UP PROFILE (% of full capacity)</t>
  </si>
  <si>
    <t>Year 1 of Operations</t>
  </si>
  <si>
    <t>Year 2 of Operations</t>
  </si>
  <si>
    <t>Year 3 of Operations</t>
  </si>
  <si>
    <t>Year 4+ of Operations</t>
  </si>
  <si>
    <t>Full production</t>
  </si>
  <si>
    <t>OPERATING COSTS</t>
  </si>
  <si>
    <t>Open Cast Mining Cost ($/t ore)</t>
  </si>
  <si>
    <t>Open Cast Mining Cost ($/t waste)</t>
  </si>
  <si>
    <t>Underground Mining Cost ($/t ore)</t>
  </si>
  <si>
    <t>Concentration / Milling Cost ($/t ore)</t>
  </si>
  <si>
    <t>Smelting Cost ($/t concentrate)</t>
  </si>
  <si>
    <t>Washing / DMS Cost ($/t ore)</t>
  </si>
  <si>
    <t>If washing route selected</t>
  </si>
  <si>
    <t>G&amp;A Cost ($/t ore)</t>
  </si>
  <si>
    <t>Cost Escalation Rate (p.a.)</t>
  </si>
  <si>
    <t>CAPITAL EXPENDITURE ($m)</t>
  </si>
  <si>
    <t>Open Cast Development Capex ($m)</t>
  </si>
  <si>
    <t>Underground Development Capex ($m)</t>
  </si>
  <si>
    <t>Processing Plant Capex ($m)</t>
  </si>
  <si>
    <t>Infrastructure Capex ($m)</t>
  </si>
  <si>
    <t>Total Construction Capex ($m)</t>
  </si>
  <si>
    <t>SUM of above</t>
  </si>
  <si>
    <t>Construction Spend Profile:</t>
  </si>
  <si>
    <t xml:space="preserve">  Year 0 (%)</t>
  </si>
  <si>
    <t xml:space="preserve">  Year 1 (%)</t>
  </si>
  <si>
    <t xml:space="preserve">  Year 2 (%)</t>
  </si>
  <si>
    <t>Sustaining Capex - Open Cast ($/t ore)</t>
  </si>
  <si>
    <t>Sustaining Capex - Underground ($/t ore)</t>
  </si>
  <si>
    <t>Closure &amp; Rehabilitation Cost ($m)</t>
  </si>
  <si>
    <t>Depreciable Life (years)</t>
  </si>
  <si>
    <t>Straight-line over LOM</t>
  </si>
  <si>
    <t>DEBT ASSUMPTIONS</t>
  </si>
  <si>
    <t>Gearing (Debt / Total Capex)</t>
  </si>
  <si>
    <t>All-in Interest Rate</t>
  </si>
  <si>
    <t>Loan Tenor (years from first drawdown)</t>
  </si>
  <si>
    <t>Grace Period (years)</t>
  </si>
  <si>
    <t>Aligned to construction</t>
  </si>
  <si>
    <t>DSCR Lock-up Covenant</t>
  </si>
  <si>
    <t>DSCR Default Covenant</t>
  </si>
  <si>
    <t>WORKING CAPITAL</t>
  </si>
  <si>
    <t>Receivable Days</t>
  </si>
  <si>
    <t>Payable Days</t>
  </si>
  <si>
    <t>Inventory Days (Concentrate/Product)</t>
  </si>
  <si>
    <t>HEDGING PROGRAMME</t>
  </si>
  <si>
    <t>Hedging Active?</t>
  </si>
  <si>
    <t>Yes</t>
  </si>
  <si>
    <t>Yes / No</t>
  </si>
  <si>
    <t>Hedge Programme Duration (years from ops start)</t>
  </si>
  <si>
    <t>Typically 3-7 years</t>
  </si>
  <si>
    <t>PRIMARY COMMODITY HEDGE:</t>
  </si>
  <si>
    <t xml:space="preserve">  % of Production Hedged</t>
  </si>
  <si>
    <t>Forward/collar coverage</t>
  </si>
  <si>
    <t xml:space="preserve">  Hedge Price ($/oz or $/t)</t>
  </si>
  <si>
    <t>Contracted forward price</t>
  </si>
  <si>
    <t xml:space="preserve">  Hedge Type</t>
  </si>
  <si>
    <t>Forward</t>
  </si>
  <si>
    <t>Forward / Collar / Put Option</t>
  </si>
  <si>
    <t>SECONDARY 1 COMMODITY HEDGE:</t>
  </si>
  <si>
    <t>SECONDARY 2 COMMODITY HEDGE:</t>
  </si>
  <si>
    <t>BY-PRODUCT COMMODITY HEDGE:</t>
  </si>
  <si>
    <t>Typically not hedged</t>
  </si>
  <si>
    <t>COLLAR PARAMETERS (if Hedge Type = Collar):</t>
  </si>
  <si>
    <t xml:space="preserve">  Floor Price - Primary ($/oz)</t>
  </si>
  <si>
    <t>Put strike</t>
  </si>
  <si>
    <t xml:space="preserve">  Cap Price - Primary ($/oz)</t>
  </si>
  <si>
    <t>Call strike</t>
  </si>
  <si>
    <t xml:space="preserve">  Floor Price - Secondary 1 ($/oz)</t>
  </si>
  <si>
    <t xml:space="preserve">  Cap Price - Secondary 1 ($/oz)</t>
  </si>
  <si>
    <t>PUT OPTION PARAMETERS (if Hedge Type = Put):</t>
  </si>
  <si>
    <t xml:space="preserve">  Option Premium (% of notional p.a.)</t>
  </si>
  <si>
    <t>Annual cost of protection</t>
  </si>
  <si>
    <t xml:space="preserve">  Strike Price - Primary ($/oz)</t>
  </si>
  <si>
    <t>WORKING CAPITAL — DETAILED DAYS</t>
  </si>
  <si>
    <t>RECEIVABLES:</t>
  </si>
  <si>
    <t xml:space="preserve">  Trade Debtors Days</t>
  </si>
  <si>
    <t>Offtake/smelter terms</t>
  </si>
  <si>
    <t xml:space="preserve">  Concentrate in Transit Days</t>
  </si>
  <si>
    <t>Shipping to smelter</t>
  </si>
  <si>
    <t xml:space="preserve">  Provisional Pricing Adjustment Days</t>
  </si>
  <si>
    <t>QP settlement lag</t>
  </si>
  <si>
    <t xml:space="preserve">  VAT / Duty Receivable Days</t>
  </si>
  <si>
    <t>Govt refund lag</t>
  </si>
  <si>
    <t>Total Receivable Days</t>
  </si>
  <si>
    <t>Sum of above</t>
  </si>
  <si>
    <t>INVENTORY:</t>
  </si>
  <si>
    <t xml:space="preserve">  ROM Ore Stockpile Days</t>
  </si>
  <si>
    <t>Run-of-mine buffer</t>
  </si>
  <si>
    <t xml:space="preserve">  Concentrate Stockpile Days</t>
  </si>
  <si>
    <t>Awaiting shipment</t>
  </si>
  <si>
    <t xml:space="preserve">  Stores &amp; Spares Days</t>
  </si>
  <si>
    <t>Critical spares inventory</t>
  </si>
  <si>
    <t>Total Inventory Days</t>
  </si>
  <si>
    <t>PAYABLES:</t>
  </si>
  <si>
    <t xml:space="preserve">  Trade Creditors Days</t>
  </si>
  <si>
    <t>Standard terms</t>
  </si>
  <si>
    <t xml:space="preserve">  Contractor Payment Days</t>
  </si>
  <si>
    <t>Mining contractor terms</t>
  </si>
  <si>
    <t xml:space="preserve">  Accrued Liabilities Days</t>
  </si>
  <si>
    <t>Salaries, utilities</t>
  </si>
  <si>
    <t>Total Payable Days</t>
  </si>
  <si>
    <t>NET WORKING CAPITAL DAYS</t>
  </si>
  <si>
    <t>Recv + Inv - Pay</t>
  </si>
  <si>
    <t>WORKING CAPITAL CYCLE:</t>
  </si>
  <si>
    <t xml:space="preserve">  Ramp-up WC Intensity Factor</t>
  </si>
  <si>
    <t>Higher WC during ramp-up (Yr1-2)</t>
  </si>
  <si>
    <t xml:space="preserve">  Steady-State WC Intensity Factor</t>
  </si>
  <si>
    <t xml:space="preserve">  Wind-down WC Recovery (%)</t>
  </si>
  <si>
    <t>% of WC recovered at closure</t>
  </si>
  <si>
    <t>COMMODITY UNITS &amp; CONVERSION FACTORS</t>
  </si>
  <si>
    <t>Grade Unit</t>
  </si>
  <si>
    <t>g/t</t>
  </si>
  <si>
    <t>PGMs/Gold=g/t | Base Metals=% | Diamonds=cpht | Minerals=%</t>
  </si>
  <si>
    <t>Production Unit</t>
  </si>
  <si>
    <t>oz</t>
  </si>
  <si>
    <t>PGMs/Gold=oz | Base Metals=t | Diamonds=carats | Minerals=t</t>
  </si>
  <si>
    <t>Price Unit</t>
  </si>
  <si>
    <t>$/oz</t>
  </si>
  <si>
    <t>PGMs/Gold=$/oz | Base Metals=$/t | Diamonds=$/ct | Minerals=$/t</t>
  </si>
  <si>
    <t>CONVERSION FACTORS:</t>
  </si>
  <si>
    <t>Grade-to-Production Factor</t>
  </si>
  <si>
    <t>g/t÷31.1035=oz/t | %×10=t/kt | cpht÷100=ct/t | %×10=t/kt</t>
  </si>
  <si>
    <t>Conversion Method</t>
  </si>
  <si>
    <t>Divide</t>
  </si>
  <si>
    <t>Divide (PGMs/Gold: g÷31.1035=oz) | Multiply (Base/Minerals: %×10=t/kt) | Direct (Diamonds: cpht/100=ct/t)</t>
  </si>
  <si>
    <t>COMMODITY DESCRIPTIONS:</t>
  </si>
  <si>
    <t>Primary Description</t>
  </si>
  <si>
    <t>Secondary 1 Description</t>
  </si>
  <si>
    <t>Secondary 2 Description</t>
  </si>
  <si>
    <t>By-product Description</t>
  </si>
  <si>
    <t>COMMODITY CONFIGURATION TEMPLATES</t>
  </si>
  <si>
    <t>Copy relevant values to the Assumptions sheet to configure for your commodity type</t>
  </si>
  <si>
    <t>Parameter</t>
  </si>
  <si>
    <t>Base Metals</t>
  </si>
  <si>
    <t>Precious Stones</t>
  </si>
  <si>
    <t>Minerals / Bulk</t>
  </si>
  <si>
    <t>Gold / Silver</t>
  </si>
  <si>
    <t>GENERAL</t>
  </si>
  <si>
    <t>Typical Commodity Group</t>
  </si>
  <si>
    <t>Minerals</t>
  </si>
  <si>
    <t>% (percentage)</t>
  </si>
  <si>
    <t>cpht (carats/100t)</t>
  </si>
  <si>
    <t>troy oz</t>
  </si>
  <si>
    <t>tonnes (t)</t>
  </si>
  <si>
    <t>carats (ct)</t>
  </si>
  <si>
    <t>$/tonne</t>
  </si>
  <si>
    <t>$/carat</t>
  </si>
  <si>
    <t>Conversion Factor</t>
  </si>
  <si>
    <t>Multiply</t>
  </si>
  <si>
    <t>EXAMPLE COMMODITIES</t>
  </si>
  <si>
    <t>Copper</t>
  </si>
  <si>
    <t>Diamonds</t>
  </si>
  <si>
    <t>Iron Ore</t>
  </si>
  <si>
    <t>Zinc</t>
  </si>
  <si>
    <t>Emeralds</t>
  </si>
  <si>
    <t>Manganese</t>
  </si>
  <si>
    <t>Silver</t>
  </si>
  <si>
    <t>Nickel</t>
  </si>
  <si>
    <t>Tanzanite</t>
  </si>
  <si>
    <t>Chrome</t>
  </si>
  <si>
    <t>Copper (by-prod)</t>
  </si>
  <si>
    <t>By-product</t>
  </si>
  <si>
    <t>Cobalt</t>
  </si>
  <si>
    <t>Industrial diamonds</t>
  </si>
  <si>
    <t>Vanadium</t>
  </si>
  <si>
    <t>Silver (by-prod)</t>
  </si>
  <si>
    <t>TYPICAL HEAD GRADES</t>
  </si>
  <si>
    <t>Primary Grade</t>
  </si>
  <si>
    <t>3.0-5.0 g/t</t>
  </si>
  <si>
    <t>0.5-2.0%</t>
  </si>
  <si>
    <t>5-100 cpht</t>
  </si>
  <si>
    <t>30-65%</t>
  </si>
  <si>
    <t>1.0-10.0 g/t</t>
  </si>
  <si>
    <t>Secondary 1 Grade</t>
  </si>
  <si>
    <t>1.5-3.0 g/t</t>
  </si>
  <si>
    <t>0.3-1.5%</t>
  </si>
  <si>
    <t>0.5-10 cpht</t>
  </si>
  <si>
    <t>5-40%</t>
  </si>
  <si>
    <t>10-150 g/t (Ag)</t>
  </si>
  <si>
    <t>Secondary 2 Grade</t>
  </si>
  <si>
    <t>0.1-0.5 g/t</t>
  </si>
  <si>
    <t>0.1-0.8%</t>
  </si>
  <si>
    <t>0.1-5 cpht</t>
  </si>
  <si>
    <t>10-30%</t>
  </si>
  <si>
    <t>0.05-0.3%</t>
  </si>
  <si>
    <t>By-product Grade</t>
  </si>
  <si>
    <t>0.05-0.3 g/t</t>
  </si>
  <si>
    <t>0.01-0.1%</t>
  </si>
  <si>
    <t>20-200 cpht</t>
  </si>
  <si>
    <t>0.1-1.0%</t>
  </si>
  <si>
    <t>5-50 g/t</t>
  </si>
  <si>
    <t>TYPICAL PRICES (2024-25 range)</t>
  </si>
  <si>
    <t>Primary Price</t>
  </si>
  <si>
    <t>$900-1100/oz</t>
  </si>
  <si>
    <t>$8,000-10,000/t</t>
  </si>
  <si>
    <t>$100-200/ct</t>
  </si>
  <si>
    <t>$100-130/t</t>
  </si>
  <si>
    <t>$1,800-2,200/oz</t>
  </si>
  <si>
    <t>$900-1200/oz</t>
  </si>
  <si>
    <t>$2,500-3,500/t</t>
  </si>
  <si>
    <t>$200-5,000/ct</t>
  </si>
  <si>
    <t>$300-500/t</t>
  </si>
  <si>
    <t>$22-32/oz</t>
  </si>
  <si>
    <t>$4,000-6,000/oz</t>
  </si>
  <si>
    <t>$15,000-20,000/t</t>
  </si>
  <si>
    <t>$100-1,500/ct</t>
  </si>
  <si>
    <t>$200-350/t</t>
  </si>
  <si>
    <t>$30,000-60,000/t</t>
  </si>
  <si>
    <t>$2-10/ct</t>
  </si>
  <si>
    <t>$10-25/kg</t>
  </si>
  <si>
    <t>PROCESSING ROUTES</t>
  </si>
  <si>
    <t>Typical Route</t>
  </si>
  <si>
    <t>Conc + Smelting</t>
  </si>
  <si>
    <t>Concentration</t>
  </si>
  <si>
    <t>Washing / DMS</t>
  </si>
  <si>
    <t>Washing / Benefic.</t>
  </si>
  <si>
    <t>Heap Leach / CIL</t>
  </si>
  <si>
    <t>Alt. Route 1</t>
  </si>
  <si>
    <t>Heap Leach (low grade)</t>
  </si>
  <si>
    <t>Conc + SX-EW</t>
  </si>
  <si>
    <t>Conc + Sorting</t>
  </si>
  <si>
    <t>Direct ship ore</t>
  </si>
  <si>
    <t>Alt. Route 2</t>
  </si>
  <si>
    <t>UG2/Merensky blend</t>
  </si>
  <si>
    <t>Alluvial recovery</t>
  </si>
  <si>
    <t>Pelletising</t>
  </si>
  <si>
    <t>Gravity + CIL</t>
  </si>
  <si>
    <t>PROCESSING PARAMETERS</t>
  </si>
  <si>
    <t>Mass Pull (% to concentrate)</t>
  </si>
  <si>
    <t>2-5%</t>
  </si>
  <si>
    <t>3-10%</t>
  </si>
  <si>
    <t>N/A (sort/wash)</t>
  </si>
  <si>
    <t>30-70%</t>
  </si>
  <si>
    <t>1-3% (gravity)</t>
  </si>
  <si>
    <t>Primary Recovery</t>
  </si>
  <si>
    <t>82-92%</t>
  </si>
  <si>
    <t>85-95%</t>
  </si>
  <si>
    <t>90-98%</t>
  </si>
  <si>
    <t>70-95%</t>
  </si>
  <si>
    <t>Secondary 1 Recovery</t>
  </si>
  <si>
    <t>80-90%</t>
  </si>
  <si>
    <t>60-85%</t>
  </si>
  <si>
    <t>50-80%</t>
  </si>
  <si>
    <t>70-90%</t>
  </si>
  <si>
    <t>Smelter/Refinery Recovery</t>
  </si>
  <si>
    <t>95-98%</t>
  </si>
  <si>
    <t>96-99%</t>
  </si>
  <si>
    <t>N/A</t>
  </si>
  <si>
    <t>98-99%</t>
  </si>
  <si>
    <t>Grade Upgrade Factor</t>
  </si>
  <si>
    <t>20-30x</t>
  </si>
  <si>
    <t>8-15x</t>
  </si>
  <si>
    <t>1.3-2.0x</t>
  </si>
  <si>
    <t>20-50x</t>
  </si>
  <si>
    <t>MINING METHOD CONSIDERATIONS</t>
  </si>
  <si>
    <t>Typical Method</t>
  </si>
  <si>
    <t>Underground (narrow reef)</t>
  </si>
  <si>
    <t>Open Cast (bulk)</t>
  </si>
  <si>
    <t>Open Cast / Alluvial</t>
  </si>
  <si>
    <t>Both OC &amp; UG</t>
  </si>
  <si>
    <t>OC Strip Ratio (typical)</t>
  </si>
  <si>
    <t>3-8:1</t>
  </si>
  <si>
    <t>2-5:1</t>
  </si>
  <si>
    <t>5-15:1</t>
  </si>
  <si>
    <t>1-3:1</t>
  </si>
  <si>
    <t>3-10:1</t>
  </si>
  <si>
    <t>UG Stoping Width</t>
  </si>
  <si>
    <t>0.9-1.5m</t>
  </si>
  <si>
    <t>3-15m (bulk)</t>
  </si>
  <si>
    <t>1.5-5m</t>
  </si>
  <si>
    <t>OC Mining Cost ($/t ore)</t>
  </si>
  <si>
    <t>$20-35/t</t>
  </si>
  <si>
    <t>$2-8/t</t>
  </si>
  <si>
    <t>$3-10/t</t>
  </si>
  <si>
    <t>$2-6/t</t>
  </si>
  <si>
    <t>UG Mining Cost ($/t ore)</t>
  </si>
  <si>
    <t>$40-80/t</t>
  </si>
  <si>
    <t>$15-50/t</t>
  </si>
  <si>
    <t>$15-40/t</t>
  </si>
  <si>
    <t>$30-80/t</t>
  </si>
  <si>
    <t>OPERATING COST BENCHMARKS</t>
  </si>
  <si>
    <t>Concentration/Milling ($/t ore)</t>
  </si>
  <si>
    <t>$12-20/t</t>
  </si>
  <si>
    <t>$8-15/t</t>
  </si>
  <si>
    <t>$3-8/t</t>
  </si>
  <si>
    <t>Washing/DMS ($/t ore)</t>
  </si>
  <si>
    <t>$5-12/t</t>
  </si>
  <si>
    <t>Smelting ($/t concentrate)</t>
  </si>
  <si>
    <t>$250-500/t</t>
  </si>
  <si>
    <t>$150-400/t</t>
  </si>
  <si>
    <t>$200-400/t</t>
  </si>
  <si>
    <t>Heap Leach ($/t ore)</t>
  </si>
  <si>
    <t>$3-8/t (SX-EW)</t>
  </si>
  <si>
    <t>G&amp;A ($/t ore)</t>
  </si>
  <si>
    <t>$4-8/t</t>
  </si>
  <si>
    <t>$2-5/t</t>
  </si>
  <si>
    <t>$3-6/t</t>
  </si>
  <si>
    <t>$1-4/t</t>
  </si>
  <si>
    <t>CAPEX BENCHMARKS</t>
  </si>
  <si>
    <t>OC Development ($/t annual capacity)</t>
  </si>
  <si>
    <t>$30-60</t>
  </si>
  <si>
    <t>$10-30</t>
  </si>
  <si>
    <t>$8-20</t>
  </si>
  <si>
    <t>$5-15</t>
  </si>
  <si>
    <t>$10-40</t>
  </si>
  <si>
    <t>UG Development ($/t annual capacity)</t>
  </si>
  <si>
    <t>$80-150</t>
  </si>
  <si>
    <t>$40-80</t>
  </si>
  <si>
    <t>$60-120</t>
  </si>
  <si>
    <t>Processing Plant ($/t annual capacity)</t>
  </si>
  <si>
    <t>$15-40</t>
  </si>
  <si>
    <t>$30-80</t>
  </si>
  <si>
    <t>Sustaining Capex - OC ($/t ore)</t>
  </si>
  <si>
    <t>$1-3/t</t>
  </si>
  <si>
    <t>$0.5-2/t</t>
  </si>
  <si>
    <t>Sustaining Capex - UG ($/t ore)</t>
  </si>
  <si>
    <t>$4-10/t</t>
  </si>
  <si>
    <t>HEDGING CONSIDERATIONS</t>
  </si>
  <si>
    <t>Typical hedge coverage</t>
  </si>
  <si>
    <t>30-60%</t>
  </si>
  <si>
    <t>40-70%</t>
  </si>
  <si>
    <t>0% (bespoke)</t>
  </si>
  <si>
    <t>20-50%</t>
  </si>
  <si>
    <t>Common instruments</t>
  </si>
  <si>
    <t>Forwards, collars</t>
  </si>
  <si>
    <t>Forwards, options</t>
  </si>
  <si>
    <t>Tender/auction</t>
  </si>
  <si>
    <t>Index-linked</t>
  </si>
  <si>
    <t>Hedge horizon</t>
  </si>
  <si>
    <t>3-5 years</t>
  </si>
  <si>
    <t>1-3 years</t>
  </si>
  <si>
    <t>1-5 years</t>
  </si>
  <si>
    <t>RESOURCE REPORTING FRAMEWORK</t>
  </si>
  <si>
    <t>Typical framework</t>
  </si>
  <si>
    <t>SAMREC / JORC</t>
  </si>
  <si>
    <t>JORC / NI 43-101</t>
  </si>
  <si>
    <t>JORC / SAMREC</t>
  </si>
  <si>
    <t>Reserve modifying factors</t>
  </si>
  <si>
    <t>0.80-0.90</t>
  </si>
  <si>
    <t>0.85-0.95</t>
  </si>
  <si>
    <t>0.70-0.90</t>
  </si>
  <si>
    <t>0.90-0.98</t>
  </si>
  <si>
    <t>0.80-0.92</t>
  </si>
  <si>
    <t>OC grade factor vs head</t>
  </si>
  <si>
    <t>0.95-1.05</t>
  </si>
  <si>
    <t>0.85-1.00</t>
  </si>
  <si>
    <t>UG grade factor vs head</t>
  </si>
  <si>
    <t>1.05-1.15</t>
  </si>
  <si>
    <t>0.95-1.10</t>
  </si>
  <si>
    <t>1.00-1.15</t>
  </si>
  <si>
    <t>QUICK-SET CONFIGURATIONS</t>
  </si>
  <si>
    <t>Pre-populated input sets — copy Column B-F values to Assumptions sheet</t>
  </si>
  <si>
    <t>PGM CONFIGURATION (Bushveld Complex style)</t>
  </si>
  <si>
    <t>Assumptions Row</t>
  </si>
  <si>
    <t>Value</t>
  </si>
  <si>
    <t>Unit</t>
  </si>
  <si>
    <t>B13</t>
  </si>
  <si>
    <t>B14</t>
  </si>
  <si>
    <t>Secondary 1</t>
  </si>
  <si>
    <t>B15</t>
  </si>
  <si>
    <t>Secondary 2</t>
  </si>
  <si>
    <t>B16</t>
  </si>
  <si>
    <t>B17</t>
  </si>
  <si>
    <t>B20</t>
  </si>
  <si>
    <t>B21</t>
  </si>
  <si>
    <t>B22</t>
  </si>
  <si>
    <t>B23</t>
  </si>
  <si>
    <t>B35</t>
  </si>
  <si>
    <t>B36</t>
  </si>
  <si>
    <t>B37</t>
  </si>
  <si>
    <t>B38</t>
  </si>
  <si>
    <t>B155</t>
  </si>
  <si>
    <t>B160</t>
  </si>
  <si>
    <t>B161</t>
  </si>
  <si>
    <t>Conc Mass Pull</t>
  </si>
  <si>
    <t>B44</t>
  </si>
  <si>
    <t>4%</t>
  </si>
  <si>
    <t>B45</t>
  </si>
  <si>
    <t>Smelter Recovery</t>
  </si>
  <si>
    <t>B49</t>
  </si>
  <si>
    <t>B43</t>
  </si>
  <si>
    <t>BASE METAL CONFIGURATION (Copper-Zinc porphyry style)</t>
  </si>
  <si>
    <t>$/t</t>
  </si>
  <si>
    <t>% Cu</t>
  </si>
  <si>
    <t>% Zn</t>
  </si>
  <si>
    <t>% Ni</t>
  </si>
  <si>
    <t>% Co</t>
  </si>
  <si>
    <t>%</t>
  </si>
  <si>
    <t>8%</t>
  </si>
  <si>
    <t>OC Mining Cost</t>
  </si>
  <si>
    <t>B59</t>
  </si>
  <si>
    <t>$/t ore</t>
  </si>
  <si>
    <t>OC Waste Cost</t>
  </si>
  <si>
    <t>B60</t>
  </si>
  <si>
    <t>$/t waste</t>
  </si>
  <si>
    <t>UG Mining Cost</t>
  </si>
  <si>
    <t>B61</t>
  </si>
  <si>
    <t>Concentration Cost</t>
  </si>
  <si>
    <t>B62</t>
  </si>
  <si>
    <t>Smelting Cost</t>
  </si>
  <si>
    <t>B63</t>
  </si>
  <si>
    <t>$/t conc</t>
  </si>
  <si>
    <t>G&amp;A Cost</t>
  </si>
  <si>
    <t>B65</t>
  </si>
  <si>
    <t>PRECIOUS STONES CONFIGURATION (Diamond kimberlite pipe style)</t>
  </si>
  <si>
    <t>Gem Diamonds</t>
  </si>
  <si>
    <t>Near-gem Diamonds</t>
  </si>
  <si>
    <t>Industrial Diamonds</t>
  </si>
  <si>
    <t>Garnet (by-prod)</t>
  </si>
  <si>
    <t>cpht</t>
  </si>
  <si>
    <t>% garnet</t>
  </si>
  <si>
    <t>cpht × 0.01 = ct/t</t>
  </si>
  <si>
    <t>N/A — recovery applied directly</t>
  </si>
  <si>
    <t>(liberation + sorting)</t>
  </si>
  <si>
    <t>No smelting for diamonds</t>
  </si>
  <si>
    <t>Washing</t>
  </si>
  <si>
    <t>$/t ore (if applicable)</t>
  </si>
  <si>
    <t>Washing/DMS Cost</t>
  </si>
  <si>
    <t>B64</t>
  </si>
  <si>
    <t>N/A — use washing</t>
  </si>
  <si>
    <t>MINERALS / BULK CONFIGURATION (Iron ore style)</t>
  </si>
  <si>
    <t>Iron Ore (Fe)</t>
  </si>
  <si>
    <t>Manganese (Mn)</t>
  </si>
  <si>
    <t>Chrome (Cr)</t>
  </si>
  <si>
    <t>Vanadium (V₂O₅)</t>
  </si>
  <si>
    <t>$/t product</t>
  </si>
  <si>
    <t>$/kg V₂O₅</t>
  </si>
  <si>
    <t>% Fe (ROM)</t>
  </si>
  <si>
    <t>% Mn</t>
  </si>
  <si>
    <t>% Cr₂O₃</t>
  </si>
  <si>
    <t>% V₂O₅</t>
  </si>
  <si>
    <t>%×10 = t per kt ore</t>
  </si>
  <si>
    <t>55% — high for beneficiation</t>
  </si>
  <si>
    <t>Beneficiation/washing</t>
  </si>
  <si>
    <t>Direct ship — no smelting</t>
  </si>
  <si>
    <t>Wash + screen + DMS</t>
  </si>
  <si>
    <t>Use washing for minerals</t>
  </si>
  <si>
    <t>Strip Ratio</t>
  </si>
  <si>
    <t>B30</t>
  </si>
  <si>
    <t>Lower for bulk minerals</t>
  </si>
  <si>
    <t>MINERAL RESOURCES &amp; ORE RESERVES</t>
  </si>
  <si>
    <t>Classification per JORC / SAMREC / NI 43-101</t>
  </si>
  <si>
    <t>MINERAL RESOURCE STATEMENT (as at model start)</t>
  </si>
  <si>
    <t>Category</t>
  </si>
  <si>
    <t>Tonnes (Mt)</t>
  </si>
  <si>
    <t>Primary (g/t)</t>
  </si>
  <si>
    <t>Second.1 (g/t)</t>
  </si>
  <si>
    <t>Second.2 (g/t)</t>
  </si>
  <si>
    <t>By-prod (g/t)</t>
  </si>
  <si>
    <t>Primary (M-units)</t>
  </si>
  <si>
    <t>Total (M-units)</t>
  </si>
  <si>
    <t>Measured</t>
  </si>
  <si>
    <t>Indicated</t>
  </si>
  <si>
    <t>Measured + Indicated</t>
  </si>
  <si>
    <t>Inferred</t>
  </si>
  <si>
    <t>Total Mineral Resource</t>
  </si>
  <si>
    <t>ORE RESERVE STATEMENT (mineable, after modifying factors)</t>
  </si>
  <si>
    <t>Modifying Factor (Resource→Reserve)</t>
  </si>
  <si>
    <t>Mining losses, dilution, geological confidence</t>
  </si>
  <si>
    <t>Proved (from Measured)</t>
  </si>
  <si>
    <t>Probable (from Indicated)</t>
  </si>
  <si>
    <t>Total Ore Reserve</t>
  </si>
  <si>
    <t>Reserve Split:</t>
  </si>
  <si>
    <t xml:space="preserve">  Open Cast Reserve (Mt)</t>
  </si>
  <si>
    <t xml:space="preserve">  Underground Reserve (Mt)</t>
  </si>
  <si>
    <t>RESOURCE DEPLETION &amp; EXTRACTION SCHEDULE</t>
  </si>
  <si>
    <t>Period</t>
  </si>
  <si>
    <t>Year Index</t>
  </si>
  <si>
    <t>OPERATING FLAGS</t>
  </si>
  <si>
    <t>Construction Flag</t>
  </si>
  <si>
    <t>Operating Flag</t>
  </si>
  <si>
    <t>Operating Year Number</t>
  </si>
  <si>
    <t>Ramp-up Factor</t>
  </si>
  <si>
    <t>Price Escalation Factor</t>
  </si>
  <si>
    <t>Cost Escalation Factor</t>
  </si>
  <si>
    <t>ORE EXTRACTION (kt)</t>
  </si>
  <si>
    <t>Total ROM Ore Mined (kt)</t>
  </si>
  <si>
    <t xml:space="preserve">  Open Cast Ore (kt)</t>
  </si>
  <si>
    <t xml:space="preserve">  Underground Ore (kt)</t>
  </si>
  <si>
    <t>Waste Mined - Open Cast (kt)</t>
  </si>
  <si>
    <t>Total Material Moved (kt)</t>
  </si>
  <si>
    <t>RESERVE DEPLETION</t>
  </si>
  <si>
    <t>Cumulative Ore Mined (Mt)</t>
  </si>
  <si>
    <t>Total Ore Reserve (Mt)</t>
  </si>
  <si>
    <t>Remaining Reserve (Mt)</t>
  </si>
  <si>
    <t>Reserve Depletion (%)</t>
  </si>
  <si>
    <t>Remaining Reserve Life (years)</t>
  </si>
  <si>
    <t>Resource Adequacy Check</t>
  </si>
  <si>
    <t>BLENDED HEAD GRADE (weighted by OC/UG mix)</t>
  </si>
  <si>
    <t>Blended Grade - Primary (g/t)</t>
  </si>
  <si>
    <t>Blended Grade - Secondary 1 (g/t)</t>
  </si>
  <si>
    <t>Blended Grade - Secondary 2 (g/t)</t>
  </si>
  <si>
    <t>Blended Grade - By-product (g/t)</t>
  </si>
  <si>
    <t>PROCESSING &amp; SALEABLE PRODUCTION</t>
  </si>
  <si>
    <t>Concentrate Produced (kt)</t>
  </si>
  <si>
    <t>Primary Metal Produced (units per Assumptions)</t>
  </si>
  <si>
    <t>Secondary 1 Metal Produced (units per Assumptions)</t>
  </si>
  <si>
    <t>Secondary 2 Metal Produced (units per Assumptions)</t>
  </si>
  <si>
    <t>By-product Metal Produced (units per Assumptions)</t>
  </si>
  <si>
    <t>Total Combined Production (units)</t>
  </si>
  <si>
    <t>Cumulative Primary Production (units)</t>
  </si>
  <si>
    <t>COMMODITY HEDGING PROGRAMME ($m)</t>
  </si>
  <si>
    <t>HEDGE FLAGS</t>
  </si>
  <si>
    <t>Hedging Active Flag</t>
  </si>
  <si>
    <t>Within Hedge Programme Period</t>
  </si>
  <si>
    <t>SPOT PRICES (escalated)</t>
  </si>
  <si>
    <t>Primary Spot Price ($/oz)</t>
  </si>
  <si>
    <t>Secondary 1 Spot Price ($/oz)</t>
  </si>
  <si>
    <t>Secondary 2 Spot Price ($/oz)</t>
  </si>
  <si>
    <t>By-product Spot Price ($/oz)</t>
  </si>
  <si>
    <t>HEDGED PRODUCTION (oz)</t>
  </si>
  <si>
    <t>Primary — Hedged Volume (oz)</t>
  </si>
  <si>
    <t>Primary — Unhedged Volume (oz)</t>
  </si>
  <si>
    <t>Secondary 1 — Hedged Volume (oz)</t>
  </si>
  <si>
    <t>Secondary 1 — Unhedged Volume (oz)</t>
  </si>
  <si>
    <t>Secondary 2 — Hedged Volume (oz)</t>
  </si>
  <si>
    <t>Secondary 2 — Unhedged Volume (oz)</t>
  </si>
  <si>
    <t>By-product — Hedged Volume (oz)</t>
  </si>
  <si>
    <t>By-product — Unhedged Volume (oz)</t>
  </si>
  <si>
    <t>REVENUE BREAKDOWN — HEDGED vs SPOT ($m)</t>
  </si>
  <si>
    <t>Primary — Hedged Revenue ($m)</t>
  </si>
  <si>
    <t>Primary — Unhedged Revenue ($m)</t>
  </si>
  <si>
    <t>Primary — Total Revenue ($m)</t>
  </si>
  <si>
    <t>Primary — Hedge Gain / (Loss) ($m)</t>
  </si>
  <si>
    <t>Secondary 1 — Hedged Revenue ($m)</t>
  </si>
  <si>
    <t>Secondary 1 — Unhedged Revenue ($m)</t>
  </si>
  <si>
    <t>Secondary 1 — Total Revenue ($m)</t>
  </si>
  <si>
    <t>Secondary 1 — Hedge Gain / (Loss) ($m)</t>
  </si>
  <si>
    <t>Secondary 2 — Hedged Revenue ($m)</t>
  </si>
  <si>
    <t>Secondary 2 — Unhedged Revenue ($m)</t>
  </si>
  <si>
    <t>Secondary 2 — Total Revenue ($m)</t>
  </si>
  <si>
    <t>Secondary 2 — Hedge Gain / (Loss) ($m)</t>
  </si>
  <si>
    <t>By-product — Hedged Revenue ($m)</t>
  </si>
  <si>
    <t>By-product — Unhedged Revenue ($m)</t>
  </si>
  <si>
    <t>By-product — Total Revenue ($m)</t>
  </si>
  <si>
    <t>By-product — Hedge Gain / (Loss) ($m)</t>
  </si>
  <si>
    <t>HEDGE PROGRAMME TOTALS</t>
  </si>
  <si>
    <t>Total Hedged Revenue ($m)</t>
  </si>
  <si>
    <t>Total Unhedged Revenue ($m)</t>
  </si>
  <si>
    <t>TOTAL GROSS REVENUE (Hedged Basis) ($m)</t>
  </si>
  <si>
    <t>Net Hedge Gain / (Loss) ($m)</t>
  </si>
  <si>
    <t>Cumulative Hedge Gain / (Loss) ($m)</t>
  </si>
  <si>
    <t>PUT OPTION PREMIUM COST (if applicable)</t>
  </si>
  <si>
    <t>Option Premium Cost ($m)</t>
  </si>
  <si>
    <t>EFFECTIVE REVENUE FOR PROJECT</t>
  </si>
  <si>
    <t>Gross Revenue at Spot ($m)</t>
  </si>
  <si>
    <t>Plus: Net Hedge Gain / (Loss) ($m)</t>
  </si>
  <si>
    <t>Less: Option Premium ($m)</t>
  </si>
  <si>
    <t>EFFECTIVE GROSS REVENUE ($m)</t>
  </si>
  <si>
    <t>% Revenue Hedged</t>
  </si>
  <si>
    <t>Hedge Impact on Revenue (%)</t>
  </si>
  <si>
    <t>PROJECT FREE CASH FLOW ($m)</t>
  </si>
  <si>
    <t>REVENUE</t>
  </si>
  <si>
    <t>Primary Revenue ($m)</t>
  </si>
  <si>
    <t>Secondary 1 Revenue ($m)</t>
  </si>
  <si>
    <t>Secondary 2 Revenue ($m)</t>
  </si>
  <si>
    <t>By-product Revenue ($m)</t>
  </si>
  <si>
    <t>Gross Revenue ($m)</t>
  </si>
  <si>
    <t>Less: Royalties ($m)</t>
  </si>
  <si>
    <t>Net Revenue ($m)</t>
  </si>
  <si>
    <t>Open Cast Mining Cost ($m)</t>
  </si>
  <si>
    <t>Underground Mining Cost ($m)</t>
  </si>
  <si>
    <t>Processing — Conc / Milling / Washing / DMS ($m)</t>
  </si>
  <si>
    <t>Smelting / Refining Cost ($m)</t>
  </si>
  <si>
    <t>G&amp;A Cost ($m)</t>
  </si>
  <si>
    <t>Total Operating Costs ($m)</t>
  </si>
  <si>
    <t>EBITDA ($m)</t>
  </si>
  <si>
    <t>CAPITAL EXPENDITURE</t>
  </si>
  <si>
    <t>Construction Capex ($m)</t>
  </si>
  <si>
    <t>Sustaining Capex ($m)</t>
  </si>
  <si>
    <t>Closure Cost ($m)</t>
  </si>
  <si>
    <t>Total Capex ($m)</t>
  </si>
  <si>
    <t>DEPRECIATION &amp; TAX</t>
  </si>
  <si>
    <t>Depreciation - Construction ($m)</t>
  </si>
  <si>
    <t>Depreciation - Sustaining ($m)</t>
  </si>
  <si>
    <t>Total Depreciation ($m)</t>
  </si>
  <si>
    <t>Taxable Income ($m)</t>
  </si>
  <si>
    <t>Tax Payable ($m)</t>
  </si>
  <si>
    <t>Net Working Capital ($m)</t>
  </si>
  <si>
    <t>Change in Working Capital ($m)</t>
  </si>
  <si>
    <t>PROJECT FREE CASH FLOW (UNLEVERED)</t>
  </si>
  <si>
    <t>EBITDA</t>
  </si>
  <si>
    <t>Less: Tax</t>
  </si>
  <si>
    <t>Less: Capex</t>
  </si>
  <si>
    <t>Less: Change in Working Capital</t>
  </si>
  <si>
    <t>WC Recovery (final operating year)</t>
  </si>
  <si>
    <t>Cumulative Project FCF ($m)</t>
  </si>
  <si>
    <t>PROJECT VALUATION</t>
  </si>
  <si>
    <t>Project NPV ($m)</t>
  </si>
  <si>
    <t>Project IRR</t>
  </si>
  <si>
    <t>Payback Period (years)</t>
  </si>
  <si>
    <t>WORKING CAPITAL SCHEDULE ($m)</t>
  </si>
  <si>
    <t>WORKING CAPITAL PARAMETERS</t>
  </si>
  <si>
    <t>WC Intensity Factor</t>
  </si>
  <si>
    <t>REVENUE &amp; COST BASE (from model)</t>
  </si>
  <si>
    <t>TRADE AND OTHER RECEIVABLES</t>
  </si>
  <si>
    <t xml:space="preserve">  Trade Debtors ($m)</t>
  </si>
  <si>
    <t xml:space="preserve">  Concentrate in Transit ($m)</t>
  </si>
  <si>
    <t xml:space="preserve">  Provisional Pricing Adjustment ($m)</t>
  </si>
  <si>
    <t xml:space="preserve">  VAT / Duty Receivable ($m)</t>
  </si>
  <si>
    <t>Total Receivables ($m)</t>
  </si>
  <si>
    <t>Effective Receivable Days</t>
  </si>
  <si>
    <t>INVENTORIES</t>
  </si>
  <si>
    <t xml:space="preserve">  ROM Ore Stockpile ($m)</t>
  </si>
  <si>
    <t xml:space="preserve">  Concentrate Stockpile ($m)</t>
  </si>
  <si>
    <t xml:space="preserve">  Stores &amp; Spares ($m)</t>
  </si>
  <si>
    <t>Total Inventories ($m)</t>
  </si>
  <si>
    <t>Effective Inventory Days</t>
  </si>
  <si>
    <t>TRADE AND OTHER PAYABLES</t>
  </si>
  <si>
    <t xml:space="preserve">  Trade Creditors ($m)</t>
  </si>
  <si>
    <t xml:space="preserve">  Contractor Payables ($m)</t>
  </si>
  <si>
    <t xml:space="preserve">  Accrued Liabilities ($m)</t>
  </si>
  <si>
    <t>Total Payables ($m)</t>
  </si>
  <si>
    <t>Effective Payable Days</t>
  </si>
  <si>
    <t>NET WORKING CAPITAL</t>
  </si>
  <si>
    <t>Effective Net WC Days</t>
  </si>
  <si>
    <t>NWC as % of Revenue</t>
  </si>
  <si>
    <t>CHANGE IN WORKING CAPITAL</t>
  </si>
  <si>
    <t>Change in Receivables ($m)</t>
  </si>
  <si>
    <t>Change in Inventories ($m)</t>
  </si>
  <si>
    <t>Change in Payables ($m)</t>
  </si>
  <si>
    <t>Total Change in Working Capital ($m)</t>
  </si>
  <si>
    <t>WC Recovery at Closure ($m)</t>
  </si>
  <si>
    <t>NET WC CASH FLOW IMPACT ($m)</t>
  </si>
  <si>
    <t>Cumulative WC Investment ($m)</t>
  </si>
  <si>
    <t>DEBT SCHEDULE &amp; FINANCING METRICS ($m)</t>
  </si>
  <si>
    <t>DEBT DRAWDOWN</t>
  </si>
  <si>
    <t>Total Debt Facility ($m)</t>
  </si>
  <si>
    <t>Drawdown ($m)</t>
  </si>
  <si>
    <t>DEBT BALANCE</t>
  </si>
  <si>
    <t>Opening Balance ($m)</t>
  </si>
  <si>
    <t>Plus: Drawdowns ($m)</t>
  </si>
  <si>
    <t>Less: Repayments ($m)</t>
  </si>
  <si>
    <t>Closing Balance ($m)</t>
  </si>
  <si>
    <t>INTEREST</t>
  </si>
  <si>
    <t>Interest Expense ($m)</t>
  </si>
  <si>
    <t>Capitalised Interest ($m)</t>
  </si>
  <si>
    <t>Cash Interest ($m)</t>
  </si>
  <si>
    <t>Total Debt Service ($m)</t>
  </si>
  <si>
    <t>DSCR</t>
  </si>
  <si>
    <t>CFADS ($m)</t>
  </si>
  <si>
    <t>Debt Service ($m)</t>
  </si>
  <si>
    <t>DSCR Lock-up Breach?</t>
  </si>
  <si>
    <t>DSCR Default Breach?</t>
  </si>
  <si>
    <t>LLCR</t>
  </si>
  <si>
    <t>NPV of Remaining CFADS ($m)</t>
  </si>
  <si>
    <t>Outstanding Debt ($m)</t>
  </si>
  <si>
    <t>SUMMARY METRICS</t>
  </si>
  <si>
    <t>Minimum DSCR</t>
  </si>
  <si>
    <t>Average DSCR</t>
  </si>
  <si>
    <t>Minimum LLCR</t>
  </si>
  <si>
    <t>Average LLCR</t>
  </si>
  <si>
    <t>SHAREHOLDER / EQUITY CASH FLOW ($m)</t>
  </si>
  <si>
    <t>EQUITY INJECTION</t>
  </si>
  <si>
    <t>Less: Debt Drawdown ($m)</t>
  </si>
  <si>
    <t>Equity Injection Required ($m)</t>
  </si>
  <si>
    <t>EQUITY FREE CASH FLOW</t>
  </si>
  <si>
    <t>Project FCF ($m)</t>
  </si>
  <si>
    <t>Plus: Debt Drawdowns ($m)</t>
  </si>
  <si>
    <t>Less: Debt Repayments ($m)</t>
  </si>
  <si>
    <t>Less: Interest Paid ($m)</t>
  </si>
  <si>
    <t>Tax Shield on Interest ($m)</t>
  </si>
  <si>
    <t>EQUITY FREE CASH FLOW ($m)</t>
  </si>
  <si>
    <t>Cumulative Equity FCF ($m)</t>
  </si>
  <si>
    <t>SHAREHOLDER VALUATION</t>
  </si>
  <si>
    <t>Equity NPV ($m)</t>
  </si>
  <si>
    <t>Equity IRR</t>
  </si>
  <si>
    <t>Equity Payback (years)</t>
  </si>
  <si>
    <t>IFRS FINANCIAL STATEMENTS ($m)</t>
  </si>
  <si>
    <t>STATEMENT OF PROFIT OR LOSS</t>
  </si>
  <si>
    <t>Revenue</t>
  </si>
  <si>
    <t>Revenue from contracts with customers</t>
  </si>
  <si>
    <t>Cost of sales</t>
  </si>
  <si>
    <t>Open cast mining costs</t>
  </si>
  <si>
    <t>Underground mining costs</t>
  </si>
  <si>
    <t>Concentration and milling costs</t>
  </si>
  <si>
    <t>Smelting and refining costs</t>
  </si>
  <si>
    <t>Depreciation and amortisation</t>
  </si>
  <si>
    <t>Royalty expense</t>
  </si>
  <si>
    <t>Mine closure provision charge</t>
  </si>
  <si>
    <t>Total cost of sales</t>
  </si>
  <si>
    <t>Gross profit / (loss)</t>
  </si>
  <si>
    <t>Administrative expenses</t>
  </si>
  <si>
    <t>Operating profit / (loss) (EBIT)</t>
  </si>
  <si>
    <t>Finance costs</t>
  </si>
  <si>
    <t>Finance income</t>
  </si>
  <si>
    <t>Finance costs — interest on borrowings</t>
  </si>
  <si>
    <t>Net finance costs</t>
  </si>
  <si>
    <t>Profit / (loss) before taxation</t>
  </si>
  <si>
    <t>Income tax expense</t>
  </si>
  <si>
    <t>Profit / (loss) for the period</t>
  </si>
  <si>
    <t>Total comprehensive income / (loss)</t>
  </si>
  <si>
    <t>Memo: EBITDA</t>
  </si>
  <si>
    <t>Memo: EBITDA margin</t>
  </si>
  <si>
    <t>STATEMENT OF FINANCIAL POSITION</t>
  </si>
  <si>
    <t>Non-current assets</t>
  </si>
  <si>
    <t>Property, plant and equipment — cost</t>
  </si>
  <si>
    <t>Accumulated depreciation and impairment</t>
  </si>
  <si>
    <t>Property, plant and equipment — NBV</t>
  </si>
  <si>
    <t>Mineral rights and development assets</t>
  </si>
  <si>
    <t>Total non-current assets</t>
  </si>
  <si>
    <t>Current assets</t>
  </si>
  <si>
    <t>Inventories (concentrate &amp; ore stockpile)</t>
  </si>
  <si>
    <t>Trade and other receivables</t>
  </si>
  <si>
    <t>Cash and cash equivalents</t>
  </si>
  <si>
    <t>Total current assets</t>
  </si>
  <si>
    <t>TOTAL ASSETS</t>
  </si>
  <si>
    <t>Equity</t>
  </si>
  <si>
    <t>Share capital and premium</t>
  </si>
  <si>
    <t>Retained earnings / (accumulated losses)</t>
  </si>
  <si>
    <t>Total equity</t>
  </si>
  <si>
    <t>Non-current liabilities</t>
  </si>
  <si>
    <t>Interest-bearing borrowings (non-current)</t>
  </si>
  <si>
    <t>Total non-current liabilities</t>
  </si>
  <si>
    <t>Current liabilities</t>
  </si>
  <si>
    <t>Trade and other payables</t>
  </si>
  <si>
    <t>Current portion of borrowings</t>
  </si>
  <si>
    <t>Total current liabilities</t>
  </si>
  <si>
    <t>Total liabilities</t>
  </si>
  <si>
    <t>TOTAL EQUITY AND LIABILITIES</t>
  </si>
  <si>
    <t>Balance check (Assets − Eq &amp; Liab)</t>
  </si>
  <si>
    <t>STATEMENT OF CASH FLOWS</t>
  </si>
  <si>
    <t>Indirect method</t>
  </si>
  <si>
    <t>Cash flows from operating activities</t>
  </si>
  <si>
    <t>Adjustments for:</t>
  </si>
  <si>
    <t xml:space="preserve">  Depreciation and amortisation</t>
  </si>
  <si>
    <t xml:space="preserve">  Mine closure provision</t>
  </si>
  <si>
    <t xml:space="preserve">  Finance costs</t>
  </si>
  <si>
    <t>Changes in working capital:</t>
  </si>
  <si>
    <t xml:space="preserve">  (Increase)/decrease in inventories</t>
  </si>
  <si>
    <t xml:space="preserve">  (Increase)/decrease in receivables</t>
  </si>
  <si>
    <t xml:space="preserve">  Increase/(decrease) in payables</t>
  </si>
  <si>
    <t>Cash generated from operations</t>
  </si>
  <si>
    <t>Interest paid</t>
  </si>
  <si>
    <t>Income tax paid</t>
  </si>
  <si>
    <t>Net cash from / (used in) operating activities</t>
  </si>
  <si>
    <t>Cash flows from investing activities</t>
  </si>
  <si>
    <t>Acquisition of property, plant &amp; equipment</t>
  </si>
  <si>
    <t>Mine closure expenditure</t>
  </si>
  <si>
    <t>Net cash from / (used in) investing activities</t>
  </si>
  <si>
    <t>Cash flows from financing activities</t>
  </si>
  <si>
    <t>Proceeds from issue of share capital</t>
  </si>
  <si>
    <t>Proceeds from borrowings</t>
  </si>
  <si>
    <t>Repayment of borrowings</t>
  </si>
  <si>
    <t>Net cash from / (used in) financing activities</t>
  </si>
  <si>
    <t>Cash and cash equivalents at end of period</t>
  </si>
  <si>
    <t>KEY FINANCIAL RATIOS</t>
  </si>
  <si>
    <t>Gross margin</t>
  </si>
  <si>
    <t>EBITDA margin</t>
  </si>
  <si>
    <t>Net profit margin</t>
  </si>
  <si>
    <t>Return on equity (ROE)</t>
  </si>
  <si>
    <t>Return on assets (ROA)</t>
  </si>
  <si>
    <t>Debt to equity</t>
  </si>
  <si>
    <t>Net debt / EBITDA</t>
  </si>
  <si>
    <t>Interest cover (EBIT / Interest)</t>
  </si>
  <si>
    <t>Current ratio</t>
  </si>
  <si>
    <t>PROJECT DASHBOARD &amp; RECONCILIATION</t>
  </si>
  <si>
    <t>PROJECT SUMMARY</t>
  </si>
  <si>
    <t>Life of Mine (years)</t>
  </si>
  <si>
    <t>RETURN METRICS COMPARISON</t>
  </si>
  <si>
    <t>Metric</t>
  </si>
  <si>
    <t>Project (Unlevered)</t>
  </si>
  <si>
    <t>Equity (Levered)</t>
  </si>
  <si>
    <t>NPV ($m)</t>
  </si>
  <si>
    <t>IRR</t>
  </si>
  <si>
    <t>Payback (years)</t>
  </si>
  <si>
    <t>Discount Rate</t>
  </si>
  <si>
    <t>FINANCING METRICS</t>
  </si>
  <si>
    <t>Covenant</t>
  </si>
  <si>
    <t>Total Debt ($m)</t>
  </si>
  <si>
    <t>Equity Contribution ($m)</t>
  </si>
  <si>
    <t>Debt : Equity</t>
  </si>
  <si>
    <t>RESOURCE &amp; RESERVE STATUS</t>
  </si>
  <si>
    <t>Cumulative Ore Mined at LOM end (Mt)</t>
  </si>
  <si>
    <t>Reserve Utilisation (%)</t>
  </si>
  <si>
    <t>NPV RECONCILIATION: PROJECT → EQUITY</t>
  </si>
  <si>
    <t>Component</t>
  </si>
  <si>
    <t>Value ($m)</t>
  </si>
  <si>
    <t>Notes</t>
  </si>
  <si>
    <t>Project NPV @ WACC</t>
  </si>
  <si>
    <t>Pre-financing project value</t>
  </si>
  <si>
    <t>NPV of Tax Shields</t>
  </si>
  <si>
    <t>PV of interest deduction benefit</t>
  </si>
  <si>
    <t>NPV of Net Debt Flows</t>
  </si>
  <si>
    <t>Drawdowns less repayments &amp; interest</t>
  </si>
  <si>
    <t>Implied Equity Value @ WACC</t>
  </si>
  <si>
    <t>Approximate reconciliation</t>
  </si>
  <si>
    <t>Equity NPV @ Ke</t>
  </si>
  <si>
    <t>Equity holders require higher return</t>
  </si>
  <si>
    <t>Difference</t>
  </si>
  <si>
    <t>Due to different discount rates</t>
  </si>
  <si>
    <t>DIAGNOSTIC CHECKS</t>
  </si>
  <si>
    <t>Equity IRR &gt; Project IRR? (leverage benefit)</t>
  </si>
  <si>
    <t>Both NPVs positive?</t>
  </si>
  <si>
    <t>DSCR above lock-up?</t>
  </si>
  <si>
    <t>Reserve supports LOM?</t>
  </si>
  <si>
    <t>HEDGING PROGRAMME SUMMARY</t>
  </si>
  <si>
    <t>Hedging Active</t>
  </si>
  <si>
    <t>Hedge Duration (years)</t>
  </si>
  <si>
    <t>Primary Hedge Coverage</t>
  </si>
  <si>
    <t>Primary Hedge Price</t>
  </si>
  <si>
    <t>Hedge Type</t>
  </si>
  <si>
    <t>Cumulative Hedge Gain/(Loss) ($m)</t>
  </si>
  <si>
    <t>WORKING CAPITAL SUMMARY</t>
  </si>
  <si>
    <t>Net WC Days</t>
  </si>
  <si>
    <t>Peak WC Investment ($m)</t>
  </si>
  <si>
    <t>WC Recovery at Closure (%)</t>
  </si>
  <si>
    <t>COMMODITY CONFIGURATION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</si>
</sst>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164" formatCode="0.0%;\(0.0%\);\-"/>
    <numFmt numFmtId="165" formatCode="\$#,##0;&quot;($&quot;#,##0\);\-"/>
    <numFmt numFmtId="166" formatCode="0.0"/>
    <numFmt numFmtId="167" formatCode="#,##0;\(#,##0\);\-"/>
    <numFmt numFmtId="168" formatCode="0.000"/>
    <numFmt numFmtId="169" formatCode="0.0\x"/>
    <numFmt numFmtId="170" formatCode="\$#,##0.00"/>
    <numFmt numFmtId="171" formatCode="\$#,##0"/>
    <numFmt numFmtId="172" formatCode="\$#,##0.00;&quot;($&quot;#,##0.00\);\-"/>
    <numFmt numFmtId="173" formatCode="0.00\x;\(0.00&quot;x)&quot;;\-"/>
    <numFmt numFmtId="174" formatCode="0.00\x"/>
    <numFmt numFmtId="175" formatCode="0.0000"/>
    <numFmt numFmtId="176" formatCode="#,##0.00;\(#,##0.00\);\-"/>
    <numFmt numFmtId="177" formatCode="#,##0.000;\(#,##0.000\);\-"/>
    <numFmt numFmtId="178" formatCode="#,##0.0;\(#,##0.0\);\-"/>
    <numFmt numFmtId="179" formatCode="0.0\x;\(0.0&quot;x)&quot;;\-"/>
    <numFmt numFmtId="180" formatCode="#,##0.0"/>
  </numFmts>
  <fonts count="14" x14ac:knownFonts="1">
    <font>
      <sz val="11"/>
      <color theme="1"/>
      <name val="Calibri"/>
      <family val="2"/>
      <charset val="1"/>
    </font>
    <font>
      <b/>
      <sz val="14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FF"/>
      <name val="Arial"/>
      <family val="2"/>
    </font>
    <font>
      <sz val="9"/>
      <color rgb="FF808080"/>
      <name val="Arial"/>
      <family val="2"/>
    </font>
    <font>
      <b/>
      <sz val="10"/>
      <color rgb="FF0000FF"/>
      <name val="Arial"/>
      <family val="2"/>
    </font>
    <font>
      <i/>
      <sz val="9"/>
      <color rgb="FF808080"/>
      <name val="Arial"/>
      <family val="2"/>
    </font>
    <font>
      <b/>
      <sz val="11"/>
      <color rgb="FFFFFFFF"/>
      <name val="Arial"/>
      <family val="2"/>
    </font>
    <font>
      <b/>
      <sz val="12"/>
      <color rgb="FF2F5496"/>
      <name val="Arial"/>
      <family val="2"/>
    </font>
    <font>
      <sz val="10"/>
      <color rgb="FF008000"/>
      <name val="Arial"/>
      <family val="2"/>
    </font>
    <font>
      <b/>
      <sz val="10"/>
      <color rgb="FFC00000"/>
      <name val="Arial"/>
      <family val="2"/>
    </font>
    <font>
      <b/>
      <sz val="10"/>
      <color rgb="FFBF8F00"/>
      <name val="Arial"/>
      <family val="2"/>
    </font>
    <font>
      <b/>
      <sz val="10"/>
      <color rgb="FF00800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D6E4F0"/>
        <bgColor rgb="FFD9E2D0"/>
      </patternFill>
    </fill>
    <fill>
      <patternFill patternType="solid">
        <fgColor rgb="FFFFF2CC"/>
        <bgColor rgb="FFFCE4D6"/>
      </patternFill>
    </fill>
    <fill>
      <patternFill patternType="solid">
        <fgColor rgb="FFFFFF00"/>
        <bgColor rgb="FFFFFF00"/>
      </patternFill>
    </fill>
    <fill>
      <patternFill patternType="solid">
        <fgColor rgb="FFE2D1F0"/>
        <bgColor rgb="FFD6E4F0"/>
      </patternFill>
    </fill>
    <fill>
      <patternFill patternType="solid">
        <fgColor rgb="FFE2EFDA"/>
        <bgColor rgb="FFD9F2F2"/>
      </patternFill>
    </fill>
    <fill>
      <patternFill patternType="solid">
        <fgColor rgb="FFFCE4D6"/>
        <bgColor rgb="FFFFF2CC"/>
      </patternFill>
    </fill>
    <fill>
      <patternFill patternType="solid">
        <fgColor rgb="FFD9F2F2"/>
        <bgColor rgb="FFE2EFDA"/>
      </patternFill>
    </fill>
    <fill>
      <patternFill patternType="solid">
        <fgColor rgb="FF2F5496"/>
        <bgColor rgb="FF4472C4"/>
      </patternFill>
    </fill>
    <fill>
      <patternFill patternType="solid">
        <fgColor rgb="FFE8D0B0"/>
        <bgColor rgb="FFD9E2D0"/>
      </patternFill>
    </fill>
    <fill>
      <patternFill patternType="solid">
        <fgColor rgb="FFE8E8FF"/>
        <bgColor rgb="FFD6E4F0"/>
      </patternFill>
    </fill>
    <fill>
      <patternFill patternType="solid">
        <fgColor rgb="FFD9E2D0"/>
        <bgColor rgb="FFD6E4F0"/>
      </patternFill>
    </fill>
  </fills>
  <borders count="4">
    <border>
      <left/>
      <right/>
      <top/>
      <bottom/>
      <diagonal/>
    </border>
    <border>
      <left style="thin">
        <color rgb="FFB4B4B4"/>
      </left>
      <right style="thin">
        <color rgb="FFB4B4B4"/>
      </right>
      <top style="thin">
        <color rgb="FFB4B4B4"/>
      </top>
      <bottom style="thin">
        <color rgb="FFB4B4B4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double">
        <color auto="1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10" fillId="0" borderId="0" xfId="0" applyFont="1"/>
    <xf numFmtId="0" fontId="1" fillId="0" borderId="0" xfId="0" applyFont="1"/>
    <xf numFmtId="0" fontId="2" fillId="2" borderId="0" xfId="0" applyFont="1" applyFill="1"/>
    <xf numFmtId="0" fontId="0" fillId="2" borderId="0" xfId="0" applyFill="1"/>
    <xf numFmtId="0" fontId="3" fillId="0" borderId="0" xfId="0" applyFont="1"/>
    <xf numFmtId="1" fontId="4" fillId="0" borderId="0" xfId="0" applyNumberFormat="1" applyFont="1"/>
    <xf numFmtId="0" fontId="5" fillId="0" borderId="0" xfId="0" applyFont="1"/>
    <xf numFmtId="164" fontId="4" fillId="0" borderId="0" xfId="0" applyNumberFormat="1" applyFont="1"/>
    <xf numFmtId="0" fontId="2" fillId="3" borderId="0" xfId="0" applyFont="1" applyFill="1"/>
    <xf numFmtId="0" fontId="0" fillId="3" borderId="0" xfId="0" applyFill="1"/>
    <xf numFmtId="0" fontId="6" fillId="4" borderId="0" xfId="0" applyFont="1" applyFill="1"/>
    <xf numFmtId="0" fontId="7" fillId="0" borderId="0" xfId="0" applyFont="1"/>
    <xf numFmtId="0" fontId="4" fillId="4" borderId="0" xfId="0" applyFont="1" applyFill="1"/>
    <xf numFmtId="165" fontId="4" fillId="0" borderId="0" xfId="0" applyNumberFormat="1" applyFont="1"/>
    <xf numFmtId="0" fontId="2" fillId="5" borderId="0" xfId="0" applyFont="1" applyFill="1"/>
    <xf numFmtId="0" fontId="0" fillId="5" borderId="0" xfId="0" applyFill="1"/>
    <xf numFmtId="0" fontId="4" fillId="0" borderId="0" xfId="0" applyFont="1"/>
    <xf numFmtId="166" fontId="4" fillId="0" borderId="0" xfId="0" applyNumberFormat="1" applyFont="1"/>
    <xf numFmtId="0" fontId="2" fillId="6" borderId="0" xfId="0" applyFont="1" applyFill="1"/>
    <xf numFmtId="0" fontId="0" fillId="6" borderId="0" xfId="0" applyFill="1"/>
    <xf numFmtId="167" fontId="4" fillId="0" borderId="0" xfId="0" applyNumberFormat="1" applyFont="1"/>
    <xf numFmtId="2" fontId="4" fillId="0" borderId="0" xfId="0" applyNumberFormat="1" applyFont="1"/>
    <xf numFmtId="168" fontId="4" fillId="0" borderId="0" xfId="0" applyNumberFormat="1" applyFont="1"/>
    <xf numFmtId="169" fontId="4" fillId="0" borderId="0" xfId="0" applyNumberFormat="1" applyFont="1"/>
    <xf numFmtId="0" fontId="2" fillId="7" borderId="0" xfId="0" applyFont="1" applyFill="1"/>
    <xf numFmtId="0" fontId="0" fillId="7" borderId="0" xfId="0" applyFill="1"/>
    <xf numFmtId="170" fontId="4" fillId="0" borderId="0" xfId="0" applyNumberFormat="1" applyFont="1"/>
    <xf numFmtId="171" fontId="4" fillId="0" borderId="0" xfId="0" applyNumberFormat="1" applyFont="1"/>
    <xf numFmtId="172" fontId="4" fillId="0" borderId="0" xfId="0" applyNumberFormat="1" applyFont="1"/>
    <xf numFmtId="167" fontId="2" fillId="0" borderId="0" xfId="0" applyNumberFormat="1" applyFont="1"/>
    <xf numFmtId="173" fontId="4" fillId="0" borderId="0" xfId="0" applyNumberFormat="1" applyFont="1"/>
    <xf numFmtId="0" fontId="3" fillId="4" borderId="0" xfId="0" applyFont="1" applyFill="1"/>
    <xf numFmtId="0" fontId="2" fillId="8" borderId="0" xfId="0" applyFont="1" applyFill="1"/>
    <xf numFmtId="0" fontId="0" fillId="8" borderId="0" xfId="0" applyFill="1"/>
    <xf numFmtId="0" fontId="2" fillId="0" borderId="0" xfId="0" applyFont="1"/>
    <xf numFmtId="1" fontId="2" fillId="0" borderId="0" xfId="0" applyNumberFormat="1" applyFont="1"/>
    <xf numFmtId="174" fontId="4" fillId="0" borderId="0" xfId="0" applyNumberFormat="1" applyFont="1"/>
    <xf numFmtId="175" fontId="6" fillId="0" borderId="0" xfId="0" applyNumberFormat="1" applyFont="1"/>
    <xf numFmtId="0" fontId="8" fillId="9" borderId="0" xfId="0" applyFont="1" applyFill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10" borderId="1" xfId="0" applyFont="1" applyFill="1" applyBorder="1" applyAlignment="1">
      <alignment horizontal="center" vertical="center"/>
    </xf>
    <xf numFmtId="0" fontId="2" fillId="11" borderId="1" xfId="0" applyFont="1" applyFill="1" applyBorder="1" applyAlignment="1">
      <alignment horizontal="center" vertical="center"/>
    </xf>
    <xf numFmtId="0" fontId="2" fillId="1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5" fontId="3" fillId="0" borderId="1" xfId="0" applyNumberFormat="1" applyFont="1" applyBorder="1" applyAlignment="1">
      <alignment horizontal="center" vertical="center"/>
    </xf>
    <xf numFmtId="0" fontId="9" fillId="0" borderId="0" xfId="0" applyFont="1"/>
    <xf numFmtId="0" fontId="8" fillId="9" borderId="1" xfId="0" applyFont="1" applyFill="1" applyBorder="1" applyAlignment="1">
      <alignment horizontal="center" vertical="center"/>
    </xf>
    <xf numFmtId="0" fontId="3" fillId="0" borderId="1" xfId="0" applyFont="1" applyBorder="1"/>
    <xf numFmtId="0" fontId="4" fillId="0" borderId="1" xfId="0" applyFont="1" applyBorder="1"/>
    <xf numFmtId="176" fontId="4" fillId="0" borderId="1" xfId="0" applyNumberFormat="1" applyFont="1" applyBorder="1"/>
    <xf numFmtId="164" fontId="4" fillId="0" borderId="1" xfId="0" applyNumberFormat="1" applyFont="1" applyBorder="1"/>
    <xf numFmtId="0" fontId="2" fillId="10" borderId="0" xfId="0" applyFont="1" applyFill="1"/>
    <xf numFmtId="0" fontId="0" fillId="10" borderId="0" xfId="0" applyFill="1"/>
    <xf numFmtId="0" fontId="2" fillId="11" borderId="0" xfId="0" applyFont="1" applyFill="1"/>
    <xf numFmtId="0" fontId="0" fillId="11" borderId="0" xfId="0" applyFill="1"/>
    <xf numFmtId="0" fontId="2" fillId="12" borderId="0" xfId="0" applyFont="1" applyFill="1"/>
    <xf numFmtId="0" fontId="0" fillId="12" borderId="0" xfId="0" applyFill="1"/>
    <xf numFmtId="0" fontId="8" fillId="9" borderId="0" xfId="0" applyFont="1" applyFill="1" applyAlignment="1">
      <alignment horizontal="center" vertical="center" wrapText="1"/>
    </xf>
    <xf numFmtId="176" fontId="4" fillId="0" borderId="0" xfId="0" applyNumberFormat="1" applyFont="1"/>
    <xf numFmtId="177" fontId="4" fillId="0" borderId="0" xfId="0" applyNumberFormat="1" applyFont="1"/>
    <xf numFmtId="176" fontId="3" fillId="0" borderId="0" xfId="0" applyNumberFormat="1" applyFont="1"/>
    <xf numFmtId="176" fontId="2" fillId="0" borderId="2" xfId="0" applyNumberFormat="1" applyFont="1" applyBorder="1"/>
    <xf numFmtId="177" fontId="2" fillId="0" borderId="2" xfId="0" applyNumberFormat="1" applyFont="1" applyBorder="1"/>
    <xf numFmtId="176" fontId="2" fillId="0" borderId="3" xfId="0" applyNumberFormat="1" applyFont="1" applyBorder="1"/>
    <xf numFmtId="177" fontId="2" fillId="0" borderId="3" xfId="0" applyNumberFormat="1" applyFont="1" applyBorder="1"/>
    <xf numFmtId="177" fontId="3" fillId="0" borderId="0" xfId="0" applyNumberFormat="1" applyFont="1"/>
    <xf numFmtId="176" fontId="0" fillId="0" borderId="0" xfId="0" applyNumberFormat="1"/>
    <xf numFmtId="1" fontId="8" fillId="9" borderId="0" xfId="0" applyNumberFormat="1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1" fontId="3" fillId="0" borderId="0" xfId="0" applyNumberFormat="1" applyFont="1" applyAlignment="1">
      <alignment horizontal="right" vertical="center"/>
    </xf>
    <xf numFmtId="164" fontId="3" fillId="0" borderId="0" xfId="0" applyNumberFormat="1" applyFont="1" applyAlignment="1">
      <alignment horizontal="right" vertical="center"/>
    </xf>
    <xf numFmtId="176" fontId="3" fillId="0" borderId="0" xfId="0" applyNumberFormat="1" applyFont="1" applyAlignment="1">
      <alignment horizontal="right" vertical="center"/>
    </xf>
    <xf numFmtId="167" fontId="2" fillId="0" borderId="0" xfId="0" applyNumberFormat="1" applyFont="1" applyAlignment="1">
      <alignment horizontal="right" vertical="center"/>
    </xf>
    <xf numFmtId="167" fontId="3" fillId="0" borderId="0" xfId="0" applyNumberFormat="1" applyFont="1" applyAlignment="1">
      <alignment horizontal="right" vertical="center"/>
    </xf>
    <xf numFmtId="176" fontId="10" fillId="0" borderId="0" xfId="0" applyNumberFormat="1" applyFont="1" applyAlignment="1">
      <alignment horizontal="right" vertical="center"/>
    </xf>
    <xf numFmtId="176" fontId="2" fillId="0" borderId="0" xfId="0" applyNumberFormat="1" applyFont="1" applyAlignment="1">
      <alignment horizontal="right" vertical="center"/>
    </xf>
    <xf numFmtId="178" fontId="3" fillId="0" borderId="0" xfId="0" applyNumberFormat="1" applyFont="1" applyAlignment="1">
      <alignment horizontal="right" vertical="center"/>
    </xf>
    <xf numFmtId="0" fontId="11" fillId="0" borderId="0" xfId="0" applyFont="1"/>
    <xf numFmtId="0" fontId="11" fillId="0" borderId="0" xfId="0" applyFont="1" applyAlignment="1">
      <alignment horizontal="center" vertical="center"/>
    </xf>
    <xf numFmtId="177" fontId="3" fillId="0" borderId="0" xfId="0" applyNumberFormat="1" applyFont="1" applyAlignment="1">
      <alignment horizontal="right" vertical="center"/>
    </xf>
    <xf numFmtId="167" fontId="2" fillId="0" borderId="2" xfId="0" applyNumberFormat="1" applyFont="1" applyBorder="1" applyAlignment="1">
      <alignment horizontal="right" vertical="center"/>
    </xf>
    <xf numFmtId="165" fontId="10" fillId="0" borderId="0" xfId="0" applyNumberFormat="1" applyFont="1" applyAlignment="1">
      <alignment horizontal="right" vertical="center"/>
    </xf>
    <xf numFmtId="178" fontId="2" fillId="0" borderId="2" xfId="0" applyNumberFormat="1" applyFont="1" applyBorder="1" applyAlignment="1">
      <alignment horizontal="right" vertical="center"/>
    </xf>
    <xf numFmtId="178" fontId="12" fillId="0" borderId="0" xfId="0" applyNumberFormat="1" applyFont="1" applyAlignment="1">
      <alignment horizontal="right" vertical="center"/>
    </xf>
    <xf numFmtId="178" fontId="2" fillId="0" borderId="0" xfId="0" applyNumberFormat="1" applyFont="1" applyAlignment="1">
      <alignment horizontal="right" vertical="center"/>
    </xf>
    <xf numFmtId="178" fontId="2" fillId="0" borderId="3" xfId="0" applyNumberFormat="1" applyFont="1" applyBorder="1" applyAlignment="1">
      <alignment horizontal="right" vertical="center"/>
    </xf>
    <xf numFmtId="0" fontId="12" fillId="0" borderId="0" xfId="0" applyFont="1"/>
    <xf numFmtId="178" fontId="12" fillId="0" borderId="2" xfId="0" applyNumberFormat="1" applyFont="1" applyBorder="1" applyAlignment="1">
      <alignment horizontal="right" vertical="center"/>
    </xf>
    <xf numFmtId="178" fontId="10" fillId="0" borderId="0" xfId="0" applyNumberFormat="1" applyFont="1" applyAlignment="1">
      <alignment horizontal="right" vertical="center"/>
    </xf>
    <xf numFmtId="164" fontId="12" fillId="0" borderId="0" xfId="0" applyNumberFormat="1" applyFont="1" applyAlignment="1">
      <alignment horizontal="right" vertical="center"/>
    </xf>
    <xf numFmtId="178" fontId="2" fillId="0" borderId="0" xfId="0" applyNumberFormat="1" applyFont="1"/>
    <xf numFmtId="164" fontId="2" fillId="0" borderId="0" xfId="0" applyNumberFormat="1" applyFont="1"/>
    <xf numFmtId="1" fontId="10" fillId="0" borderId="0" xfId="0" applyNumberFormat="1" applyFont="1" applyAlignment="1">
      <alignment horizontal="right" vertical="center"/>
    </xf>
    <xf numFmtId="174" fontId="3" fillId="0" borderId="0" xfId="0" applyNumberFormat="1" applyFont="1" applyAlignment="1">
      <alignment horizontal="right" vertical="center"/>
    </xf>
    <xf numFmtId="1" fontId="5" fillId="0" borderId="0" xfId="0" applyNumberFormat="1" applyFont="1" applyAlignment="1">
      <alignment horizontal="right" vertical="center"/>
    </xf>
    <xf numFmtId="164" fontId="5" fillId="0" borderId="0" xfId="0" applyNumberFormat="1" applyFont="1" applyAlignment="1">
      <alignment horizontal="right" vertical="center"/>
    </xf>
    <xf numFmtId="173" fontId="2" fillId="0" borderId="0" xfId="0" applyNumberFormat="1" applyFont="1" applyAlignment="1">
      <alignment horizontal="right" vertical="center"/>
    </xf>
    <xf numFmtId="173" fontId="2" fillId="0" borderId="0" xfId="0" applyNumberFormat="1" applyFont="1"/>
    <xf numFmtId="178" fontId="5" fillId="0" borderId="0" xfId="0" applyNumberFormat="1" applyFont="1" applyAlignment="1">
      <alignment horizontal="right" vertical="center"/>
    </xf>
    <xf numFmtId="178" fontId="11" fillId="0" borderId="0" xfId="0" applyNumberFormat="1" applyFont="1" applyAlignment="1">
      <alignment horizontal="right" vertical="center"/>
    </xf>
    <xf numFmtId="173" fontId="3" fillId="0" borderId="0" xfId="0" applyNumberFormat="1" applyFont="1" applyAlignment="1">
      <alignment horizontal="right" vertical="center"/>
    </xf>
    <xf numFmtId="179" fontId="3" fillId="0" borderId="0" xfId="0" applyNumberFormat="1" applyFont="1" applyAlignment="1">
      <alignment horizontal="right" vertical="center"/>
    </xf>
    <xf numFmtId="0" fontId="13" fillId="0" borderId="0" xfId="0" applyFont="1"/>
    <xf numFmtId="180" fontId="13" fillId="0" borderId="0" xfId="0" applyNumberFormat="1" applyFont="1"/>
    <xf numFmtId="1" fontId="13" fillId="0" borderId="0" xfId="0" applyNumberFormat="1" applyFont="1"/>
    <xf numFmtId="178" fontId="13" fillId="0" borderId="0" xfId="0" applyNumberFormat="1" applyFont="1"/>
    <xf numFmtId="164" fontId="13" fillId="0" borderId="0" xfId="0" applyNumberFormat="1" applyFont="1"/>
    <xf numFmtId="173" fontId="13" fillId="0" borderId="0" xfId="0" applyNumberFormat="1" applyFont="1"/>
    <xf numFmtId="178" fontId="3" fillId="0" borderId="0" xfId="0" applyNumberFormat="1" applyFont="1"/>
    <xf numFmtId="165" fontId="13" fillId="0" borderId="0" xfId="0" applyNumberFormat="1" applyFont="1"/>
    <xf numFmtId="175" fontId="13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C0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548235"/>
      <rgbColor rgb="FF800080"/>
      <rgbColor rgb="FF008080"/>
      <rgbColor rgb="FFB4B4B4"/>
      <rgbColor rgb="FF808080"/>
      <rgbColor rgb="FF9999FF"/>
      <rgbColor rgb="FF7030A0"/>
      <rgbColor rgb="FFFFF2CC"/>
      <rgbColor rgb="FFD9F2F2"/>
      <rgbColor rgb="FF660066"/>
      <rgbColor rgb="FFFF8080"/>
      <rgbColor rgb="FF0066CC"/>
      <rgbColor rgb="FFE2D1F0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D6E4F0"/>
      <rgbColor rgb="FFE2EFDA"/>
      <rgbColor rgb="FFFCE4D6"/>
      <rgbColor rgb="FFD9E2D0"/>
      <rgbColor rgb="FFFF99CC"/>
      <rgbColor rgb="FFE8E8FF"/>
      <rgbColor rgb="FFE8D0B0"/>
      <rgbColor rgb="FF4472C4"/>
      <rgbColor rgb="FF33CCCC"/>
      <rgbColor rgb="FF99CC00"/>
      <rgbColor rgb="FFFFCC00"/>
      <rgbColor rgb="FFBF8F00"/>
      <rgbColor rgb="FFED7D31"/>
      <rgbColor rgb="FF666699"/>
      <rgbColor rgb="FF969696"/>
      <rgbColor rgb="FF003366"/>
      <rgbColor rgb="FF339966"/>
      <rgbColor rgb="FF003300"/>
      <rgbColor rgb="FF333300"/>
      <rgbColor rgb="FF843C0C"/>
      <rgbColor rgb="FF993366"/>
      <rgbColor rgb="FF2F5496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2F5496"/>
  </sheetPr>
  <dimension ref="A1:V167"/>
  <sheetViews>
    <sheetView zoomScaleNormal="100" workbookViewId="0">
      <selection activeCell="B17" sqref="B17"/>
    </sheetView>
  </sheetViews>
  <sheetFormatPr baseColWidth="10" defaultColWidth="8.6640625" defaultRowHeight="15" x14ac:dyDescent="0.2"/>
  <cols>
    <col min="1" max="1" width="44" customWidth="1"/>
    <col min="2" max="2" width="18" customWidth="1"/>
    <col min="3" max="6" width="14" customWidth="1"/>
  </cols>
  <sheetData>
    <row r="1" spans="1:22" ht="17.25" customHeight="1" x14ac:dyDescent="0.2">
      <c r="A1" s="2" t="s">
        <v>0</v>
      </c>
    </row>
    <row r="3" spans="1:22" ht="15" customHeight="1" x14ac:dyDescent="0.2">
      <c r="A3" s="3" t="s">
        <v>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spans="1:22" ht="15" customHeight="1" x14ac:dyDescent="0.2">
      <c r="A4" s="5" t="s">
        <v>2</v>
      </c>
      <c r="B4" s="6">
        <v>2025</v>
      </c>
    </row>
    <row r="5" spans="1:22" ht="15" customHeight="1" x14ac:dyDescent="0.2">
      <c r="A5" s="5" t="s">
        <v>3</v>
      </c>
      <c r="B5" s="6">
        <v>3</v>
      </c>
      <c r="C5" s="7" t="s">
        <v>4</v>
      </c>
    </row>
    <row r="6" spans="1:22" ht="15" customHeight="1" x14ac:dyDescent="0.2">
      <c r="A6" s="5" t="s">
        <v>5</v>
      </c>
      <c r="B6" s="6">
        <v>17</v>
      </c>
      <c r="C6" s="7" t="s">
        <v>4</v>
      </c>
    </row>
    <row r="7" spans="1:22" ht="15" customHeight="1" x14ac:dyDescent="0.2">
      <c r="A7" s="5" t="s">
        <v>6</v>
      </c>
      <c r="B7" s="8">
        <v>0.1</v>
      </c>
    </row>
    <row r="8" spans="1:22" ht="15" customHeight="1" x14ac:dyDescent="0.2">
      <c r="A8" s="5" t="s">
        <v>7</v>
      </c>
      <c r="B8" s="8">
        <v>0.14000000000000001</v>
      </c>
    </row>
    <row r="9" spans="1:22" ht="15" customHeight="1" x14ac:dyDescent="0.2">
      <c r="A9" s="5" t="s">
        <v>8</v>
      </c>
      <c r="B9" s="8">
        <v>0.28000000000000003</v>
      </c>
    </row>
    <row r="10" spans="1:22" ht="15" customHeight="1" x14ac:dyDescent="0.2">
      <c r="A10" s="5" t="s">
        <v>9</v>
      </c>
      <c r="B10" s="8">
        <v>0.03</v>
      </c>
    </row>
    <row r="12" spans="1:22" ht="15" customHeight="1" x14ac:dyDescent="0.2">
      <c r="A12" s="9" t="s">
        <v>10</v>
      </c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</row>
    <row r="13" spans="1:22" ht="15" customHeight="1" x14ac:dyDescent="0.2">
      <c r="A13" s="5" t="s">
        <v>11</v>
      </c>
      <c r="B13" s="11" t="s">
        <v>12</v>
      </c>
      <c r="C13" s="12" t="s">
        <v>13</v>
      </c>
    </row>
    <row r="14" spans="1:22" ht="15" customHeight="1" x14ac:dyDescent="0.2">
      <c r="A14" s="5" t="s">
        <v>14</v>
      </c>
      <c r="B14" s="11" t="s">
        <v>15</v>
      </c>
    </row>
    <row r="15" spans="1:22" ht="15" customHeight="1" x14ac:dyDescent="0.2">
      <c r="A15" s="5" t="s">
        <v>16</v>
      </c>
      <c r="B15" s="13" t="s">
        <v>17</v>
      </c>
    </row>
    <row r="16" spans="1:22" ht="15" customHeight="1" x14ac:dyDescent="0.2">
      <c r="A16" s="5" t="s">
        <v>18</v>
      </c>
      <c r="B16" s="13" t="s">
        <v>19</v>
      </c>
    </row>
    <row r="17" spans="1:22" ht="15" customHeight="1" x14ac:dyDescent="0.2">
      <c r="A17" s="5" t="s">
        <v>20</v>
      </c>
      <c r="B17" s="13" t="s">
        <v>21</v>
      </c>
    </row>
    <row r="19" spans="1:22" ht="15" customHeight="1" x14ac:dyDescent="0.2">
      <c r="A19" s="9" t="s">
        <v>22</v>
      </c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</row>
    <row r="20" spans="1:22" ht="15" customHeight="1" x14ac:dyDescent="0.2">
      <c r="A20" s="5" t="s">
        <v>23</v>
      </c>
      <c r="B20" s="14">
        <v>950</v>
      </c>
      <c r="C20" s="7" t="s">
        <v>24</v>
      </c>
    </row>
    <row r="21" spans="1:22" ht="15" customHeight="1" x14ac:dyDescent="0.2">
      <c r="A21" s="5" t="s">
        <v>25</v>
      </c>
      <c r="B21" s="14">
        <v>1050</v>
      </c>
      <c r="C21" s="7" t="s">
        <v>26</v>
      </c>
    </row>
    <row r="22" spans="1:22" ht="15" customHeight="1" x14ac:dyDescent="0.2">
      <c r="A22" s="5" t="s">
        <v>27</v>
      </c>
      <c r="B22" s="14">
        <v>4500</v>
      </c>
      <c r="C22" s="7" t="s">
        <v>28</v>
      </c>
    </row>
    <row r="23" spans="1:22" ht="15" customHeight="1" x14ac:dyDescent="0.2">
      <c r="A23" s="5" t="s">
        <v>29</v>
      </c>
      <c r="B23" s="14">
        <v>1950</v>
      </c>
      <c r="C23" s="7" t="s">
        <v>30</v>
      </c>
    </row>
    <row r="24" spans="1:22" ht="15" customHeight="1" x14ac:dyDescent="0.2">
      <c r="A24" s="5" t="s">
        <v>31</v>
      </c>
      <c r="B24" s="8">
        <v>0.02</v>
      </c>
      <c r="C24" s="7"/>
    </row>
    <row r="26" spans="1:22" ht="15" customHeight="1" x14ac:dyDescent="0.2">
      <c r="A26" s="15" t="s">
        <v>32</v>
      </c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</row>
    <row r="27" spans="1:22" ht="15" customHeight="1" x14ac:dyDescent="0.2">
      <c r="A27" s="5" t="s">
        <v>33</v>
      </c>
      <c r="B27" s="17" t="s">
        <v>34</v>
      </c>
      <c r="C27" s="12" t="s">
        <v>35</v>
      </c>
    </row>
    <row r="28" spans="1:22" ht="15" customHeight="1" x14ac:dyDescent="0.2">
      <c r="A28" s="5" t="s">
        <v>36</v>
      </c>
      <c r="B28" s="8">
        <v>0.4</v>
      </c>
      <c r="C28" s="12" t="s">
        <v>37</v>
      </c>
    </row>
    <row r="29" spans="1:22" ht="15" customHeight="1" x14ac:dyDescent="0.2">
      <c r="A29" s="5" t="s">
        <v>38</v>
      </c>
      <c r="B29" s="8">
        <v>0.6</v>
      </c>
      <c r="C29" s="12" t="s">
        <v>37</v>
      </c>
    </row>
    <row r="30" spans="1:22" ht="15" customHeight="1" x14ac:dyDescent="0.2">
      <c r="A30" s="5" t="s">
        <v>39</v>
      </c>
      <c r="B30" s="18">
        <v>6</v>
      </c>
      <c r="C30" s="12" t="s">
        <v>40</v>
      </c>
    </row>
    <row r="31" spans="1:22" ht="15" customHeight="1" x14ac:dyDescent="0.2">
      <c r="A31" s="5" t="s">
        <v>41</v>
      </c>
      <c r="B31" s="18">
        <v>1.2</v>
      </c>
      <c r="C31" s="12" t="s">
        <v>42</v>
      </c>
    </row>
    <row r="33" spans="1:22" ht="15" customHeight="1" x14ac:dyDescent="0.2">
      <c r="A33" s="19" t="s">
        <v>43</v>
      </c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</row>
    <row r="34" spans="1:22" ht="15" customHeight="1" x14ac:dyDescent="0.2">
      <c r="A34" s="5" t="s">
        <v>44</v>
      </c>
      <c r="B34" s="21">
        <v>3000</v>
      </c>
      <c r="C34" s="12" t="s">
        <v>45</v>
      </c>
    </row>
    <row r="35" spans="1:22" ht="15" customHeight="1" x14ac:dyDescent="0.2">
      <c r="A35" s="5" t="s">
        <v>46</v>
      </c>
      <c r="B35" s="22">
        <v>4</v>
      </c>
      <c r="C35" s="12" t="s">
        <v>47</v>
      </c>
    </row>
    <row r="36" spans="1:22" ht="15" customHeight="1" x14ac:dyDescent="0.2">
      <c r="A36" s="5" t="s">
        <v>48</v>
      </c>
      <c r="B36" s="22">
        <v>2.5</v>
      </c>
      <c r="C36" s="12" t="s">
        <v>47</v>
      </c>
    </row>
    <row r="37" spans="1:22" ht="15" customHeight="1" x14ac:dyDescent="0.2">
      <c r="A37" s="5" t="s">
        <v>49</v>
      </c>
      <c r="B37" s="23">
        <v>0.3</v>
      </c>
      <c r="C37" s="12" t="s">
        <v>47</v>
      </c>
    </row>
    <row r="38" spans="1:22" ht="15" customHeight="1" x14ac:dyDescent="0.2">
      <c r="A38" s="5" t="s">
        <v>50</v>
      </c>
      <c r="B38" s="23">
        <v>0.15</v>
      </c>
      <c r="C38" s="12" t="s">
        <v>47</v>
      </c>
    </row>
    <row r="39" spans="1:22" ht="15" customHeight="1" x14ac:dyDescent="0.2">
      <c r="A39" s="5" t="s">
        <v>51</v>
      </c>
      <c r="B39" s="8">
        <v>0.85</v>
      </c>
      <c r="C39" s="12" t="s">
        <v>52</v>
      </c>
    </row>
    <row r="40" spans="1:22" ht="15" customHeight="1" x14ac:dyDescent="0.2">
      <c r="A40" s="5" t="s">
        <v>53</v>
      </c>
      <c r="B40" s="8">
        <v>1.1000000000000001</v>
      </c>
      <c r="C40" s="12" t="s">
        <v>54</v>
      </c>
    </row>
    <row r="42" spans="1:22" ht="15" customHeight="1" x14ac:dyDescent="0.2">
      <c r="A42" s="15" t="s">
        <v>55</v>
      </c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</row>
    <row r="43" spans="1:22" ht="15" customHeight="1" x14ac:dyDescent="0.2">
      <c r="A43" s="5" t="s">
        <v>56</v>
      </c>
      <c r="B43" s="17" t="s">
        <v>57</v>
      </c>
      <c r="C43" s="12" t="s">
        <v>58</v>
      </c>
    </row>
    <row r="44" spans="1:22" ht="15" customHeight="1" x14ac:dyDescent="0.2">
      <c r="A44" s="5" t="s">
        <v>59</v>
      </c>
      <c r="B44" s="8">
        <v>0.04</v>
      </c>
      <c r="C44" s="12" t="s">
        <v>60</v>
      </c>
    </row>
    <row r="45" spans="1:22" ht="15" customHeight="1" x14ac:dyDescent="0.2">
      <c r="A45" s="5" t="s">
        <v>61</v>
      </c>
      <c r="B45" s="8">
        <v>0.87</v>
      </c>
      <c r="C45" s="12"/>
    </row>
    <row r="46" spans="1:22" ht="15" customHeight="1" x14ac:dyDescent="0.2">
      <c r="A46" s="5" t="s">
        <v>62</v>
      </c>
      <c r="B46" s="8">
        <v>0.85</v>
      </c>
      <c r="C46" s="12"/>
    </row>
    <row r="47" spans="1:22" ht="15" customHeight="1" x14ac:dyDescent="0.2">
      <c r="A47" s="5" t="s">
        <v>63</v>
      </c>
      <c r="B47" s="8">
        <v>0.78</v>
      </c>
      <c r="C47" s="12"/>
    </row>
    <row r="48" spans="1:22" ht="15" customHeight="1" x14ac:dyDescent="0.2">
      <c r="A48" s="5" t="s">
        <v>64</v>
      </c>
      <c r="B48" s="8">
        <v>0.65</v>
      </c>
      <c r="C48" s="12"/>
    </row>
    <row r="49" spans="1:22" ht="15" customHeight="1" x14ac:dyDescent="0.2">
      <c r="A49" s="5" t="s">
        <v>65</v>
      </c>
      <c r="B49" s="8">
        <v>0.96</v>
      </c>
      <c r="C49" s="12" t="s">
        <v>66</v>
      </c>
    </row>
    <row r="50" spans="1:22" ht="15" customHeight="1" x14ac:dyDescent="0.2">
      <c r="A50" s="5" t="s">
        <v>67</v>
      </c>
      <c r="B50" s="24">
        <v>22</v>
      </c>
      <c r="C50" s="12" t="s">
        <v>68</v>
      </c>
    </row>
    <row r="52" spans="1:22" ht="15" customHeight="1" x14ac:dyDescent="0.2">
      <c r="A52" s="19" t="s">
        <v>69</v>
      </c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</row>
    <row r="53" spans="1:22" ht="15" customHeight="1" x14ac:dyDescent="0.2">
      <c r="A53" s="5" t="s">
        <v>70</v>
      </c>
      <c r="B53" s="8">
        <v>0.5</v>
      </c>
      <c r="C53" s="12"/>
    </row>
    <row r="54" spans="1:22" ht="15" customHeight="1" x14ac:dyDescent="0.2">
      <c r="A54" s="5" t="s">
        <v>71</v>
      </c>
      <c r="B54" s="8">
        <v>0.75</v>
      </c>
      <c r="C54" s="12"/>
    </row>
    <row r="55" spans="1:22" ht="15" customHeight="1" x14ac:dyDescent="0.2">
      <c r="A55" s="5" t="s">
        <v>72</v>
      </c>
      <c r="B55" s="8">
        <v>0.9</v>
      </c>
      <c r="C55" s="12"/>
    </row>
    <row r="56" spans="1:22" ht="15" customHeight="1" x14ac:dyDescent="0.2">
      <c r="A56" s="5" t="s">
        <v>73</v>
      </c>
      <c r="B56" s="8">
        <v>1</v>
      </c>
      <c r="C56" s="12" t="s">
        <v>74</v>
      </c>
    </row>
    <row r="58" spans="1:22" ht="15" customHeight="1" x14ac:dyDescent="0.2">
      <c r="A58" s="25" t="s">
        <v>75</v>
      </c>
      <c r="B58" s="26"/>
      <c r="C58" s="26"/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</row>
    <row r="59" spans="1:22" ht="15" customHeight="1" x14ac:dyDescent="0.2">
      <c r="A59" s="5" t="s">
        <v>76</v>
      </c>
      <c r="B59" s="27">
        <v>22</v>
      </c>
    </row>
    <row r="60" spans="1:22" ht="15" customHeight="1" x14ac:dyDescent="0.2">
      <c r="A60" s="5" t="s">
        <v>77</v>
      </c>
      <c r="B60" s="27">
        <v>8</v>
      </c>
    </row>
    <row r="61" spans="1:22" ht="15" customHeight="1" x14ac:dyDescent="0.2">
      <c r="A61" s="5" t="s">
        <v>78</v>
      </c>
      <c r="B61" s="27">
        <v>55</v>
      </c>
    </row>
    <row r="62" spans="1:22" ht="15" customHeight="1" x14ac:dyDescent="0.2">
      <c r="A62" s="5" t="s">
        <v>79</v>
      </c>
      <c r="B62" s="27">
        <v>15</v>
      </c>
    </row>
    <row r="63" spans="1:22" ht="15" customHeight="1" x14ac:dyDescent="0.2">
      <c r="A63" s="5" t="s">
        <v>80</v>
      </c>
      <c r="B63" s="28">
        <v>350</v>
      </c>
    </row>
    <row r="64" spans="1:22" ht="15" customHeight="1" x14ac:dyDescent="0.2">
      <c r="A64" s="5" t="s">
        <v>81</v>
      </c>
      <c r="B64" s="29">
        <v>0</v>
      </c>
      <c r="C64" s="12" t="s">
        <v>82</v>
      </c>
    </row>
    <row r="65" spans="1:22" ht="15" customHeight="1" x14ac:dyDescent="0.2">
      <c r="A65" s="5" t="s">
        <v>83</v>
      </c>
      <c r="B65" s="27">
        <v>6</v>
      </c>
    </row>
    <row r="66" spans="1:22" ht="15" customHeight="1" x14ac:dyDescent="0.2">
      <c r="A66" s="5" t="s">
        <v>84</v>
      </c>
      <c r="B66" s="8">
        <v>2.5000000000000001E-2</v>
      </c>
    </row>
    <row r="68" spans="1:22" ht="15" customHeight="1" x14ac:dyDescent="0.2">
      <c r="A68" s="25" t="s">
        <v>85</v>
      </c>
      <c r="B68" s="26"/>
      <c r="C68" s="26"/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</row>
    <row r="69" spans="1:22" ht="15" customHeight="1" x14ac:dyDescent="0.2">
      <c r="A69" s="5" t="s">
        <v>86</v>
      </c>
      <c r="B69" s="21">
        <v>120</v>
      </c>
    </row>
    <row r="70" spans="1:22" ht="15" customHeight="1" x14ac:dyDescent="0.2">
      <c r="A70" s="5" t="s">
        <v>87</v>
      </c>
      <c r="B70" s="21">
        <v>280</v>
      </c>
    </row>
    <row r="71" spans="1:22" ht="15" customHeight="1" x14ac:dyDescent="0.2">
      <c r="A71" s="5" t="s">
        <v>88</v>
      </c>
      <c r="B71" s="21">
        <v>250</v>
      </c>
    </row>
    <row r="72" spans="1:22" ht="15" customHeight="1" x14ac:dyDescent="0.2">
      <c r="A72" s="5" t="s">
        <v>89</v>
      </c>
      <c r="B72" s="21">
        <v>100</v>
      </c>
    </row>
    <row r="73" spans="1:22" ht="15" customHeight="1" x14ac:dyDescent="0.2">
      <c r="A73" s="5" t="s">
        <v>90</v>
      </c>
      <c r="B73" s="30">
        <f>B69+B70+B71+B72</f>
        <v>750</v>
      </c>
      <c r="C73" s="12" t="s">
        <v>91</v>
      </c>
    </row>
    <row r="74" spans="1:22" ht="15" customHeight="1" x14ac:dyDescent="0.2">
      <c r="A74" s="5" t="s">
        <v>92</v>
      </c>
      <c r="B74" s="17"/>
    </row>
    <row r="75" spans="1:22" ht="15" customHeight="1" x14ac:dyDescent="0.2">
      <c r="A75" s="5" t="s">
        <v>93</v>
      </c>
      <c r="B75" s="8">
        <v>0.3</v>
      </c>
    </row>
    <row r="76" spans="1:22" ht="15" customHeight="1" x14ac:dyDescent="0.2">
      <c r="A76" s="5" t="s">
        <v>94</v>
      </c>
      <c r="B76" s="8">
        <v>0.45</v>
      </c>
    </row>
    <row r="77" spans="1:22" ht="15" customHeight="1" x14ac:dyDescent="0.2">
      <c r="A77" s="5" t="s">
        <v>95</v>
      </c>
      <c r="B77" s="8">
        <v>0.25</v>
      </c>
    </row>
    <row r="78" spans="1:22" ht="15" customHeight="1" x14ac:dyDescent="0.2">
      <c r="A78" s="5" t="s">
        <v>96</v>
      </c>
      <c r="B78" s="27">
        <v>3</v>
      </c>
    </row>
    <row r="79" spans="1:22" ht="15" customHeight="1" x14ac:dyDescent="0.2">
      <c r="A79" s="5" t="s">
        <v>97</v>
      </c>
      <c r="B79" s="27">
        <v>8</v>
      </c>
    </row>
    <row r="80" spans="1:22" ht="15" customHeight="1" x14ac:dyDescent="0.2">
      <c r="A80" s="5" t="s">
        <v>98</v>
      </c>
      <c r="B80" s="21">
        <v>40</v>
      </c>
    </row>
    <row r="81" spans="1:22" ht="15" customHeight="1" x14ac:dyDescent="0.2">
      <c r="A81" s="5" t="s">
        <v>99</v>
      </c>
      <c r="B81" s="6">
        <v>17</v>
      </c>
      <c r="C81" s="12" t="s">
        <v>100</v>
      </c>
    </row>
    <row r="83" spans="1:22" ht="15" customHeight="1" x14ac:dyDescent="0.2">
      <c r="A83" s="25" t="s">
        <v>101</v>
      </c>
      <c r="B83" s="26"/>
      <c r="C83" s="26"/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</row>
    <row r="84" spans="1:22" ht="15" customHeight="1" x14ac:dyDescent="0.2">
      <c r="A84" s="5" t="s">
        <v>102</v>
      </c>
      <c r="B84" s="8">
        <v>0.65</v>
      </c>
    </row>
    <row r="85" spans="1:22" ht="15" customHeight="1" x14ac:dyDescent="0.2">
      <c r="A85" s="5" t="s">
        <v>103</v>
      </c>
      <c r="B85" s="8">
        <v>0.08</v>
      </c>
    </row>
    <row r="86" spans="1:22" ht="15" customHeight="1" x14ac:dyDescent="0.2">
      <c r="A86" s="5" t="s">
        <v>104</v>
      </c>
      <c r="B86" s="6">
        <v>12</v>
      </c>
    </row>
    <row r="87" spans="1:22" ht="15" customHeight="1" x14ac:dyDescent="0.2">
      <c r="A87" s="5" t="s">
        <v>105</v>
      </c>
      <c r="B87" s="6">
        <v>3</v>
      </c>
      <c r="C87" s="12" t="s">
        <v>106</v>
      </c>
    </row>
    <row r="88" spans="1:22" ht="15" customHeight="1" x14ac:dyDescent="0.2">
      <c r="A88" s="5" t="s">
        <v>107</v>
      </c>
      <c r="B88" s="31">
        <v>1.2</v>
      </c>
    </row>
    <row r="89" spans="1:22" ht="15" customHeight="1" x14ac:dyDescent="0.2">
      <c r="A89" s="5" t="s">
        <v>108</v>
      </c>
      <c r="B89" s="31">
        <v>1.05</v>
      </c>
    </row>
    <row r="91" spans="1:22" ht="15" customHeight="1" x14ac:dyDescent="0.2">
      <c r="A91" s="25" t="s">
        <v>109</v>
      </c>
      <c r="B91" s="26"/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</row>
    <row r="92" spans="1:22" ht="15" customHeight="1" x14ac:dyDescent="0.2">
      <c r="A92" s="5" t="s">
        <v>110</v>
      </c>
      <c r="B92" s="6">
        <v>30</v>
      </c>
    </row>
    <row r="93" spans="1:22" ht="15" customHeight="1" x14ac:dyDescent="0.2">
      <c r="A93" s="5" t="s">
        <v>111</v>
      </c>
      <c r="B93" s="6">
        <v>45</v>
      </c>
    </row>
    <row r="94" spans="1:22" ht="15" customHeight="1" x14ac:dyDescent="0.2">
      <c r="A94" s="5" t="s">
        <v>112</v>
      </c>
      <c r="B94" s="6">
        <v>60</v>
      </c>
    </row>
    <row r="96" spans="1:22" ht="15" customHeight="1" x14ac:dyDescent="0.2">
      <c r="A96" s="9" t="s">
        <v>113</v>
      </c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</row>
    <row r="97" spans="1:3" ht="15" customHeight="1" x14ac:dyDescent="0.2">
      <c r="A97" s="5" t="s">
        <v>114</v>
      </c>
      <c r="B97" s="32" t="s">
        <v>115</v>
      </c>
      <c r="C97" s="12" t="s">
        <v>116</v>
      </c>
    </row>
    <row r="98" spans="1:3" ht="15" customHeight="1" x14ac:dyDescent="0.2">
      <c r="A98" s="5" t="s">
        <v>117</v>
      </c>
      <c r="B98" s="6">
        <v>5</v>
      </c>
      <c r="C98" s="12" t="s">
        <v>118</v>
      </c>
    </row>
    <row r="99" spans="1:3" ht="15" customHeight="1" x14ac:dyDescent="0.2">
      <c r="A99" s="5"/>
    </row>
    <row r="100" spans="1:3" ht="15" customHeight="1" x14ac:dyDescent="0.2">
      <c r="A100" s="5" t="s">
        <v>119</v>
      </c>
    </row>
    <row r="101" spans="1:3" ht="15" customHeight="1" x14ac:dyDescent="0.2">
      <c r="A101" s="5" t="s">
        <v>120</v>
      </c>
      <c r="B101" s="8">
        <v>0.5</v>
      </c>
      <c r="C101" s="12" t="s">
        <v>121</v>
      </c>
    </row>
    <row r="102" spans="1:3" ht="15" customHeight="1" x14ac:dyDescent="0.2">
      <c r="A102" s="5" t="s">
        <v>122</v>
      </c>
      <c r="B102" s="14">
        <v>920</v>
      </c>
      <c r="C102" s="12" t="s">
        <v>123</v>
      </c>
    </row>
    <row r="103" spans="1:3" ht="15" customHeight="1" x14ac:dyDescent="0.2">
      <c r="A103" s="5" t="s">
        <v>124</v>
      </c>
      <c r="B103" s="5" t="s">
        <v>125</v>
      </c>
      <c r="C103" s="12" t="s">
        <v>126</v>
      </c>
    </row>
    <row r="104" spans="1:3" ht="15" customHeight="1" x14ac:dyDescent="0.2">
      <c r="A104" s="5"/>
    </row>
    <row r="105" spans="1:3" ht="15" customHeight="1" x14ac:dyDescent="0.2">
      <c r="A105" s="5" t="s">
        <v>127</v>
      </c>
    </row>
    <row r="106" spans="1:3" ht="15" customHeight="1" x14ac:dyDescent="0.2">
      <c r="A106" s="5" t="s">
        <v>120</v>
      </c>
      <c r="B106" s="8">
        <v>0.4</v>
      </c>
    </row>
    <row r="107" spans="1:3" ht="15" customHeight="1" x14ac:dyDescent="0.2">
      <c r="A107" s="5" t="s">
        <v>122</v>
      </c>
      <c r="B107" s="14">
        <v>1000</v>
      </c>
    </row>
    <row r="108" spans="1:3" ht="15" customHeight="1" x14ac:dyDescent="0.2">
      <c r="A108" s="5"/>
    </row>
    <row r="109" spans="1:3" ht="15" customHeight="1" x14ac:dyDescent="0.2">
      <c r="A109" s="5" t="s">
        <v>128</v>
      </c>
    </row>
    <row r="110" spans="1:3" ht="15" customHeight="1" x14ac:dyDescent="0.2">
      <c r="A110" s="5" t="s">
        <v>120</v>
      </c>
      <c r="B110" s="8">
        <v>0.3</v>
      </c>
    </row>
    <row r="111" spans="1:3" ht="15" customHeight="1" x14ac:dyDescent="0.2">
      <c r="A111" s="5" t="s">
        <v>122</v>
      </c>
      <c r="B111" s="14">
        <v>4200</v>
      </c>
    </row>
    <row r="112" spans="1:3" ht="15" customHeight="1" x14ac:dyDescent="0.2">
      <c r="A112" s="5"/>
    </row>
    <row r="113" spans="1:22" ht="15" customHeight="1" x14ac:dyDescent="0.2">
      <c r="A113" s="5" t="s">
        <v>129</v>
      </c>
    </row>
    <row r="114" spans="1:22" ht="15" customHeight="1" x14ac:dyDescent="0.2">
      <c r="A114" s="5" t="s">
        <v>120</v>
      </c>
      <c r="B114" s="8">
        <v>0</v>
      </c>
      <c r="C114" s="12" t="s">
        <v>130</v>
      </c>
    </row>
    <row r="115" spans="1:22" ht="15" customHeight="1" x14ac:dyDescent="0.2">
      <c r="A115" s="5" t="s">
        <v>122</v>
      </c>
      <c r="B115" s="14">
        <v>1900</v>
      </c>
    </row>
    <row r="116" spans="1:22" ht="15" customHeight="1" x14ac:dyDescent="0.2">
      <c r="A116" s="5"/>
    </row>
    <row r="117" spans="1:22" ht="15" customHeight="1" x14ac:dyDescent="0.2">
      <c r="A117" s="5" t="s">
        <v>131</v>
      </c>
    </row>
    <row r="118" spans="1:22" ht="15" customHeight="1" x14ac:dyDescent="0.2">
      <c r="A118" s="5" t="s">
        <v>132</v>
      </c>
      <c r="B118" s="14">
        <v>880</v>
      </c>
      <c r="C118" s="12" t="s">
        <v>133</v>
      </c>
    </row>
    <row r="119" spans="1:22" ht="15" customHeight="1" x14ac:dyDescent="0.2">
      <c r="A119" s="5" t="s">
        <v>134</v>
      </c>
      <c r="B119" s="14">
        <v>1050</v>
      </c>
      <c r="C119" s="12" t="s">
        <v>135</v>
      </c>
    </row>
    <row r="120" spans="1:22" ht="15" customHeight="1" x14ac:dyDescent="0.2">
      <c r="A120" s="5" t="s">
        <v>136</v>
      </c>
      <c r="B120" s="14">
        <v>950</v>
      </c>
    </row>
    <row r="121" spans="1:22" ht="15" customHeight="1" x14ac:dyDescent="0.2">
      <c r="A121" s="5" t="s">
        <v>137</v>
      </c>
      <c r="B121" s="14">
        <v>1150</v>
      </c>
    </row>
    <row r="122" spans="1:22" ht="15" customHeight="1" x14ac:dyDescent="0.2">
      <c r="A122" s="5"/>
    </row>
    <row r="123" spans="1:22" ht="15" customHeight="1" x14ac:dyDescent="0.2">
      <c r="A123" s="5" t="s">
        <v>138</v>
      </c>
    </row>
    <row r="124" spans="1:22" ht="15" customHeight="1" x14ac:dyDescent="0.2">
      <c r="A124" s="5" t="s">
        <v>139</v>
      </c>
      <c r="B124" s="8">
        <v>0.03</v>
      </c>
      <c r="C124" s="12" t="s">
        <v>140</v>
      </c>
    </row>
    <row r="125" spans="1:22" ht="15" customHeight="1" x14ac:dyDescent="0.2">
      <c r="A125" s="5" t="s">
        <v>141</v>
      </c>
      <c r="B125" s="14">
        <v>900</v>
      </c>
    </row>
    <row r="127" spans="1:22" ht="15" customHeight="1" x14ac:dyDescent="0.2">
      <c r="A127" s="33" t="s">
        <v>142</v>
      </c>
      <c r="B127" s="34"/>
      <c r="C127" s="34"/>
      <c r="D127" s="34"/>
      <c r="E127" s="34"/>
      <c r="F127" s="34"/>
      <c r="G127" s="34"/>
      <c r="H127" s="34"/>
      <c r="I127" s="34"/>
      <c r="J127" s="34"/>
      <c r="K127" s="34"/>
      <c r="L127" s="34"/>
      <c r="M127" s="34"/>
      <c r="N127" s="34"/>
      <c r="O127" s="34"/>
      <c r="P127" s="34"/>
      <c r="Q127" s="34"/>
      <c r="R127" s="34"/>
      <c r="S127" s="34"/>
      <c r="T127" s="34"/>
      <c r="U127" s="34"/>
      <c r="V127" s="34"/>
    </row>
    <row r="128" spans="1:22" ht="15" customHeight="1" x14ac:dyDescent="0.2">
      <c r="A128" s="35" t="s">
        <v>143</v>
      </c>
    </row>
    <row r="129" spans="1:3" ht="15" customHeight="1" x14ac:dyDescent="0.2">
      <c r="A129" s="5" t="s">
        <v>144</v>
      </c>
      <c r="B129" s="6">
        <v>30</v>
      </c>
      <c r="C129" s="12" t="s">
        <v>145</v>
      </c>
    </row>
    <row r="130" spans="1:3" ht="15" customHeight="1" x14ac:dyDescent="0.2">
      <c r="A130" s="5" t="s">
        <v>146</v>
      </c>
      <c r="B130" s="6">
        <v>15</v>
      </c>
      <c r="C130" s="12" t="s">
        <v>147</v>
      </c>
    </row>
    <row r="131" spans="1:3" ht="15" customHeight="1" x14ac:dyDescent="0.2">
      <c r="A131" s="5" t="s">
        <v>148</v>
      </c>
      <c r="B131" s="6">
        <v>10</v>
      </c>
      <c r="C131" s="12" t="s">
        <v>149</v>
      </c>
    </row>
    <row r="132" spans="1:3" ht="15" customHeight="1" x14ac:dyDescent="0.2">
      <c r="A132" s="5" t="s">
        <v>150</v>
      </c>
      <c r="B132" s="6">
        <v>45</v>
      </c>
      <c r="C132" s="12" t="s">
        <v>151</v>
      </c>
    </row>
    <row r="133" spans="1:3" ht="15" customHeight="1" x14ac:dyDescent="0.2">
      <c r="A133" s="5" t="s">
        <v>152</v>
      </c>
      <c r="B133" s="36">
        <f>B129+B130+B131+B132</f>
        <v>100</v>
      </c>
      <c r="C133" s="12" t="s">
        <v>153</v>
      </c>
    </row>
    <row r="134" spans="1:3" ht="15" customHeight="1" x14ac:dyDescent="0.2">
      <c r="A134" s="5"/>
    </row>
    <row r="135" spans="1:3" ht="15" customHeight="1" x14ac:dyDescent="0.2">
      <c r="A135" s="35" t="s">
        <v>154</v>
      </c>
    </row>
    <row r="136" spans="1:3" ht="15" customHeight="1" x14ac:dyDescent="0.2">
      <c r="A136" s="5" t="s">
        <v>155</v>
      </c>
      <c r="B136" s="6">
        <v>20</v>
      </c>
      <c r="C136" s="12" t="s">
        <v>156</v>
      </c>
    </row>
    <row r="137" spans="1:3" ht="15" customHeight="1" x14ac:dyDescent="0.2">
      <c r="A137" s="5" t="s">
        <v>157</v>
      </c>
      <c r="B137" s="6">
        <v>15</v>
      </c>
      <c r="C137" s="12" t="s">
        <v>158</v>
      </c>
    </row>
    <row r="138" spans="1:3" ht="15" customHeight="1" x14ac:dyDescent="0.2">
      <c r="A138" s="5" t="s">
        <v>159</v>
      </c>
      <c r="B138" s="6">
        <v>45</v>
      </c>
      <c r="C138" s="12" t="s">
        <v>160</v>
      </c>
    </row>
    <row r="139" spans="1:3" ht="15" customHeight="1" x14ac:dyDescent="0.2">
      <c r="A139" s="5" t="s">
        <v>161</v>
      </c>
      <c r="B139" s="36">
        <f>B136+B137+B138</f>
        <v>80</v>
      </c>
      <c r="C139" s="12" t="s">
        <v>153</v>
      </c>
    </row>
    <row r="140" spans="1:3" ht="15" customHeight="1" x14ac:dyDescent="0.2">
      <c r="A140" s="5"/>
    </row>
    <row r="141" spans="1:3" ht="15" customHeight="1" x14ac:dyDescent="0.2">
      <c r="A141" s="35" t="s">
        <v>162</v>
      </c>
    </row>
    <row r="142" spans="1:3" ht="15" customHeight="1" x14ac:dyDescent="0.2">
      <c r="A142" s="5" t="s">
        <v>163</v>
      </c>
      <c r="B142" s="6">
        <v>30</v>
      </c>
      <c r="C142" s="12" t="s">
        <v>164</v>
      </c>
    </row>
    <row r="143" spans="1:3" ht="15" customHeight="1" x14ac:dyDescent="0.2">
      <c r="A143" s="5" t="s">
        <v>165</v>
      </c>
      <c r="B143" s="6">
        <v>45</v>
      </c>
      <c r="C143" s="12" t="s">
        <v>166</v>
      </c>
    </row>
    <row r="144" spans="1:3" ht="15" customHeight="1" x14ac:dyDescent="0.2">
      <c r="A144" s="5" t="s">
        <v>167</v>
      </c>
      <c r="B144" s="6">
        <v>15</v>
      </c>
      <c r="C144" s="12" t="s">
        <v>168</v>
      </c>
    </row>
    <row r="145" spans="1:4" ht="15" customHeight="1" x14ac:dyDescent="0.2">
      <c r="A145" s="5" t="s">
        <v>169</v>
      </c>
      <c r="B145" s="36">
        <f>B142+B143+B144</f>
        <v>90</v>
      </c>
      <c r="C145" s="12" t="s">
        <v>153</v>
      </c>
    </row>
    <row r="146" spans="1:4" ht="15" customHeight="1" x14ac:dyDescent="0.2">
      <c r="A146" s="5"/>
    </row>
    <row r="147" spans="1:4" ht="15" customHeight="1" x14ac:dyDescent="0.2">
      <c r="A147" s="5" t="s">
        <v>170</v>
      </c>
      <c r="B147" s="36">
        <f>B133+B139-B145</f>
        <v>90</v>
      </c>
      <c r="C147" s="12" t="s">
        <v>171</v>
      </c>
    </row>
    <row r="148" spans="1:4" ht="15" customHeight="1" x14ac:dyDescent="0.2">
      <c r="A148" s="5"/>
    </row>
    <row r="149" spans="1:4" ht="15" customHeight="1" x14ac:dyDescent="0.2">
      <c r="A149" s="35" t="s">
        <v>172</v>
      </c>
    </row>
    <row r="150" spans="1:4" ht="15" customHeight="1" x14ac:dyDescent="0.2">
      <c r="A150" s="5" t="s">
        <v>173</v>
      </c>
      <c r="B150" s="37">
        <v>1.2</v>
      </c>
      <c r="C150" s="12" t="s">
        <v>174</v>
      </c>
    </row>
    <row r="151" spans="1:4" ht="15" customHeight="1" x14ac:dyDescent="0.2">
      <c r="A151" s="5" t="s">
        <v>175</v>
      </c>
      <c r="B151" s="37">
        <v>1</v>
      </c>
    </row>
    <row r="152" spans="1:4" ht="15" customHeight="1" x14ac:dyDescent="0.2">
      <c r="A152" s="5" t="s">
        <v>176</v>
      </c>
      <c r="B152" s="8">
        <v>0.95</v>
      </c>
      <c r="C152" s="12" t="s">
        <v>177</v>
      </c>
    </row>
    <row r="154" spans="1:4" ht="15" customHeight="1" x14ac:dyDescent="0.2">
      <c r="A154" s="15" t="s">
        <v>178</v>
      </c>
      <c r="B154" s="16"/>
      <c r="C154" s="16"/>
      <c r="D154" s="16"/>
    </row>
    <row r="155" spans="1:4" ht="15" customHeight="1" x14ac:dyDescent="0.2">
      <c r="A155" s="5" t="s">
        <v>179</v>
      </c>
      <c r="B155" s="11" t="s">
        <v>180</v>
      </c>
      <c r="C155" s="12" t="s">
        <v>181</v>
      </c>
    </row>
    <row r="156" spans="1:4" ht="15" customHeight="1" x14ac:dyDescent="0.2">
      <c r="A156" s="5" t="s">
        <v>182</v>
      </c>
      <c r="B156" s="11" t="s">
        <v>183</v>
      </c>
      <c r="C156" s="12" t="s">
        <v>184</v>
      </c>
    </row>
    <row r="157" spans="1:4" ht="15" customHeight="1" x14ac:dyDescent="0.2">
      <c r="A157" s="5" t="s">
        <v>185</v>
      </c>
      <c r="B157" s="11" t="s">
        <v>186</v>
      </c>
      <c r="C157" s="12" t="s">
        <v>187</v>
      </c>
    </row>
    <row r="158" spans="1:4" ht="15" customHeight="1" x14ac:dyDescent="0.2">
      <c r="A158" s="5"/>
    </row>
    <row r="159" spans="1:4" ht="15" customHeight="1" x14ac:dyDescent="0.2">
      <c r="A159" s="35" t="s">
        <v>188</v>
      </c>
    </row>
    <row r="160" spans="1:4" ht="15" customHeight="1" x14ac:dyDescent="0.2">
      <c r="A160" s="5" t="s">
        <v>189</v>
      </c>
      <c r="B160" s="38">
        <v>31.1035</v>
      </c>
      <c r="C160" s="12" t="s">
        <v>190</v>
      </c>
    </row>
    <row r="161" spans="1:3" ht="15" customHeight="1" x14ac:dyDescent="0.2">
      <c r="A161" s="5" t="s">
        <v>191</v>
      </c>
      <c r="B161" s="11" t="s">
        <v>192</v>
      </c>
      <c r="C161" s="12" t="s">
        <v>193</v>
      </c>
    </row>
    <row r="162" spans="1:3" ht="15" customHeight="1" x14ac:dyDescent="0.2">
      <c r="A162" s="5"/>
    </row>
    <row r="163" spans="1:3" ht="15" customHeight="1" x14ac:dyDescent="0.2">
      <c r="A163" s="35" t="s">
        <v>194</v>
      </c>
    </row>
    <row r="164" spans="1:3" ht="15" customHeight="1" x14ac:dyDescent="0.2">
      <c r="A164" s="5" t="s">
        <v>195</v>
      </c>
      <c r="B164" s="17" t="s">
        <v>15</v>
      </c>
    </row>
    <row r="165" spans="1:3" ht="15" customHeight="1" x14ac:dyDescent="0.2">
      <c r="A165" s="5" t="s">
        <v>196</v>
      </c>
      <c r="B165" s="17" t="s">
        <v>17</v>
      </c>
    </row>
    <row r="166" spans="1:3" ht="15" customHeight="1" x14ac:dyDescent="0.2">
      <c r="A166" s="5" t="s">
        <v>197</v>
      </c>
      <c r="B166" s="17" t="s">
        <v>19</v>
      </c>
    </row>
    <row r="167" spans="1:3" ht="15" customHeight="1" x14ac:dyDescent="0.2">
      <c r="A167" s="5" t="s">
        <v>198</v>
      </c>
      <c r="B167" s="17" t="s">
        <v>21</v>
      </c>
    </row>
  </sheetData>
  <pageMargins left="0.75" right="0.75" top="1" bottom="1" header="0.511811023622047" footer="0.511811023622047"/>
  <pageSetup paperSize="9" orientation="portrait" horizontalDpi="300" verticalDpi="30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4472C4"/>
  </sheetPr>
  <dimension ref="A1:V126"/>
  <sheetViews>
    <sheetView tabSelected="1"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J43" sqref="J43"/>
    </sheetView>
  </sheetViews>
  <sheetFormatPr baseColWidth="10" defaultColWidth="8.6640625" defaultRowHeight="15" x14ac:dyDescent="0.2"/>
  <cols>
    <col min="1" max="1" width="44" customWidth="1"/>
    <col min="2" max="22" width="14" customWidth="1"/>
  </cols>
  <sheetData>
    <row r="1" spans="1:22" ht="17.25" customHeight="1" x14ac:dyDescent="0.2">
      <c r="A1" s="2" t="s">
        <v>737</v>
      </c>
    </row>
    <row r="3" spans="1:22" ht="15" customHeight="1" x14ac:dyDescent="0.2">
      <c r="A3" s="47" t="s">
        <v>738</v>
      </c>
    </row>
    <row r="5" spans="1:22" ht="15" customHeight="1" x14ac:dyDescent="0.2">
      <c r="A5" s="39" t="s">
        <v>535</v>
      </c>
      <c r="B5" s="69">
        <f>Assumptions!B4+0</f>
        <v>2025</v>
      </c>
      <c r="C5" s="69">
        <f>Assumptions!B4+1</f>
        <v>2026</v>
      </c>
      <c r="D5" s="69">
        <f>Assumptions!B4+2</f>
        <v>2027</v>
      </c>
      <c r="E5" s="69">
        <f>Assumptions!B4+3</f>
        <v>2028</v>
      </c>
      <c r="F5" s="69">
        <f>Assumptions!B4+4</f>
        <v>2029</v>
      </c>
      <c r="G5" s="69">
        <f>Assumptions!B4+5</f>
        <v>2030</v>
      </c>
      <c r="H5" s="69">
        <f>Assumptions!B4+6</f>
        <v>2031</v>
      </c>
      <c r="I5" s="69">
        <f>Assumptions!B4+7</f>
        <v>2032</v>
      </c>
      <c r="J5" s="69">
        <f>Assumptions!B4+8</f>
        <v>2033</v>
      </c>
      <c r="K5" s="69">
        <f>Assumptions!B4+9</f>
        <v>2034</v>
      </c>
      <c r="L5" s="69">
        <f>Assumptions!B4+10</f>
        <v>2035</v>
      </c>
      <c r="M5" s="69">
        <f>Assumptions!B4+11</f>
        <v>2036</v>
      </c>
      <c r="N5" s="69">
        <f>Assumptions!B4+12</f>
        <v>2037</v>
      </c>
      <c r="O5" s="69">
        <f>Assumptions!B4+13</f>
        <v>2038</v>
      </c>
      <c r="P5" s="69">
        <f>Assumptions!B4+14</f>
        <v>2039</v>
      </c>
      <c r="Q5" s="69">
        <f>Assumptions!B4+15</f>
        <v>2040</v>
      </c>
      <c r="R5" s="69">
        <f>Assumptions!B4+16</f>
        <v>2041</v>
      </c>
      <c r="S5" s="69">
        <f>Assumptions!B4+17</f>
        <v>2042</v>
      </c>
      <c r="T5" s="69">
        <f>Assumptions!B4+18</f>
        <v>2043</v>
      </c>
      <c r="U5" s="69">
        <f>Assumptions!B4+19</f>
        <v>2044</v>
      </c>
      <c r="V5" s="69">
        <f>Assumptions!B4+20</f>
        <v>2045</v>
      </c>
    </row>
    <row r="7" spans="1:22" ht="15" customHeight="1" x14ac:dyDescent="0.2">
      <c r="A7" s="19" t="s">
        <v>739</v>
      </c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</row>
    <row r="8" spans="1:22" ht="15" customHeight="1" x14ac:dyDescent="0.2">
      <c r="A8" s="5" t="s">
        <v>740</v>
      </c>
      <c r="B8" s="90">
        <f>'Project Cash Flow'!B11</f>
        <v>0</v>
      </c>
      <c r="C8" s="90">
        <f>'Project Cash Flow'!C11</f>
        <v>0</v>
      </c>
      <c r="D8" s="90">
        <f>'Project Cash Flow'!D11</f>
        <v>0</v>
      </c>
      <c r="E8" s="90">
        <f>'Project Cash Flow'!E11</f>
        <v>319.65734323764201</v>
      </c>
      <c r="F8" s="90">
        <f>'Project Cash Flow'!F11</f>
        <v>485.26228496309926</v>
      </c>
      <c r="G8" s="90">
        <f>'Project Cash Flow'!G11</f>
        <v>589.38489656624188</v>
      </c>
      <c r="H8" s="90">
        <f>'Project Cash Flow'!H11</f>
        <v>662.88494918775018</v>
      </c>
      <c r="I8" s="90">
        <f>'Project Cash Flow'!I11</f>
        <v>671.05804791751427</v>
      </c>
      <c r="J8" s="90">
        <f>'Project Cash Flow'!J11</f>
        <v>735.59422988840856</v>
      </c>
      <c r="K8" s="90">
        <f>'Project Cash Flow'!K11</f>
        <v>750.30611448617685</v>
      </c>
      <c r="L8" s="90">
        <f>'Project Cash Flow'!L11</f>
        <v>765.31223677590037</v>
      </c>
      <c r="M8" s="90">
        <f>'Project Cash Flow'!M11</f>
        <v>780.61848151141828</v>
      </c>
      <c r="N8" s="90">
        <f>'Project Cash Flow'!N11</f>
        <v>796.23085114164667</v>
      </c>
      <c r="O8" s="90">
        <f>'Project Cash Flow'!O11</f>
        <v>812.15546816447954</v>
      </c>
      <c r="P8" s="90">
        <f>'Project Cash Flow'!P11</f>
        <v>828.39857752776925</v>
      </c>
      <c r="Q8" s="90">
        <f>'Project Cash Flow'!Q11</f>
        <v>844.96654907832453</v>
      </c>
      <c r="R8" s="90">
        <f>'Project Cash Flow'!R11</f>
        <v>861.86588005989108</v>
      </c>
      <c r="S8" s="90">
        <f>'Project Cash Flow'!S11</f>
        <v>879.10319766108898</v>
      </c>
      <c r="T8" s="90">
        <f>'Project Cash Flow'!T11</f>
        <v>896.68526161431078</v>
      </c>
      <c r="U8" s="90">
        <f>'Project Cash Flow'!U11</f>
        <v>914.61896684659678</v>
      </c>
      <c r="V8" s="90">
        <f>'Project Cash Flow'!V11</f>
        <v>0</v>
      </c>
    </row>
    <row r="10" spans="1:22" ht="15" customHeight="1" x14ac:dyDescent="0.2">
      <c r="A10" s="25" t="s">
        <v>741</v>
      </c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</row>
    <row r="11" spans="1:22" ht="15" customHeight="1" x14ac:dyDescent="0.2">
      <c r="A11" s="5" t="s">
        <v>742</v>
      </c>
      <c r="B11" s="90">
        <f>-'Project Cash Flow'!B16</f>
        <v>0</v>
      </c>
      <c r="C11" s="90">
        <f>-'Project Cash Flow'!C16</f>
        <v>0</v>
      </c>
      <c r="D11" s="90">
        <f>-'Project Cash Flow'!D16</f>
        <v>0</v>
      </c>
      <c r="E11" s="90">
        <f>-'Project Cash Flow'!E16</f>
        <v>-45.22940624999999</v>
      </c>
      <c r="F11" s="90">
        <f>-'Project Cash Flow'!F16</f>
        <v>-69.540212109374991</v>
      </c>
      <c r="G11" s="90">
        <f>-'Project Cash Flow'!G16</f>
        <v>-85.534460894531222</v>
      </c>
      <c r="H11" s="90">
        <f>-'Project Cash Flow'!H16</f>
        <v>-97.414247129882767</v>
      </c>
      <c r="I11" s="90">
        <f>-'Project Cash Flow'!I16</f>
        <v>-99.849603308129844</v>
      </c>
      <c r="J11" s="90">
        <f>-'Project Cash Flow'!J16</f>
        <v>-102.34584339083308</v>
      </c>
      <c r="K11" s="90">
        <f>-'Project Cash Flow'!K16</f>
        <v>-104.9044894756039</v>
      </c>
      <c r="L11" s="90">
        <f>-'Project Cash Flow'!L16</f>
        <v>-107.527101712494</v>
      </c>
      <c r="M11" s="90">
        <f>-'Project Cash Flow'!M16</f>
        <v>-110.21527925530634</v>
      </c>
      <c r="N11" s="90">
        <f>-'Project Cash Flow'!N16</f>
        <v>-112.97066123668898</v>
      </c>
      <c r="O11" s="90">
        <f>-'Project Cash Flow'!O16</f>
        <v>-115.79492776760621</v>
      </c>
      <c r="P11" s="90">
        <f>-'Project Cash Flow'!P16</f>
        <v>-118.68980096179637</v>
      </c>
      <c r="Q11" s="90">
        <f>-'Project Cash Flow'!Q16</f>
        <v>-121.65704598584128</v>
      </c>
      <c r="R11" s="90">
        <f>-'Project Cash Flow'!R16</f>
        <v>-124.69847213548731</v>
      </c>
      <c r="S11" s="90">
        <f>-'Project Cash Flow'!S16</f>
        <v>-127.81593393887447</v>
      </c>
      <c r="T11" s="90">
        <f>-'Project Cash Flow'!T16</f>
        <v>-131.01133228734633</v>
      </c>
      <c r="U11" s="90">
        <f>-'Project Cash Flow'!U16</f>
        <v>-134.28661559452999</v>
      </c>
      <c r="V11" s="90">
        <f>-'Project Cash Flow'!V16</f>
        <v>0</v>
      </c>
    </row>
    <row r="12" spans="1:22" ht="15" customHeight="1" x14ac:dyDescent="0.2">
      <c r="A12" s="5" t="s">
        <v>743</v>
      </c>
      <c r="B12" s="90">
        <f>-'Project Cash Flow'!B17</f>
        <v>0</v>
      </c>
      <c r="C12" s="90">
        <f>-'Project Cash Flow'!C17</f>
        <v>0</v>
      </c>
      <c r="D12" s="90">
        <f>-'Project Cash Flow'!D17</f>
        <v>0</v>
      </c>
      <c r="E12" s="90">
        <f>-'Project Cash Flow'!E17</f>
        <v>-53.306085937499994</v>
      </c>
      <c r="F12" s="90">
        <f>-'Project Cash Flow'!F17</f>
        <v>-81.958107128906235</v>
      </c>
      <c r="G12" s="90">
        <f>-'Project Cash Flow'!G17</f>
        <v>-100.80847176855465</v>
      </c>
      <c r="H12" s="90">
        <f>-'Project Cash Flow'!H17</f>
        <v>-114.80964840307612</v>
      </c>
      <c r="I12" s="90">
        <f>-'Project Cash Flow'!I17</f>
        <v>-117.67988961315304</v>
      </c>
      <c r="J12" s="90">
        <f>-'Project Cash Flow'!J17</f>
        <v>-120.62188685348185</v>
      </c>
      <c r="K12" s="90">
        <f>-'Project Cash Flow'!K17</f>
        <v>-123.63743402481889</v>
      </c>
      <c r="L12" s="90">
        <f>-'Project Cash Flow'!L17</f>
        <v>-126.72836987543934</v>
      </c>
      <c r="M12" s="90">
        <f>-'Project Cash Flow'!M17</f>
        <v>-129.89657912232533</v>
      </c>
      <c r="N12" s="90">
        <f>-'Project Cash Flow'!N17</f>
        <v>-133.14399360038345</v>
      </c>
      <c r="O12" s="90">
        <f>-'Project Cash Flow'!O17</f>
        <v>-136.47259344039304</v>
      </c>
      <c r="P12" s="90">
        <f>-'Project Cash Flow'!P17</f>
        <v>-139.88440827640284</v>
      </c>
      <c r="Q12" s="90">
        <f>-'Project Cash Flow'!Q17</f>
        <v>-143.38151848331293</v>
      </c>
      <c r="R12" s="90">
        <f>-'Project Cash Flow'!R17</f>
        <v>-146.96605644539574</v>
      </c>
      <c r="S12" s="90">
        <f>-'Project Cash Flow'!S17</f>
        <v>-150.64020785653062</v>
      </c>
      <c r="T12" s="90">
        <f>-'Project Cash Flow'!T17</f>
        <v>-154.40621305294388</v>
      </c>
      <c r="U12" s="90">
        <f>-'Project Cash Flow'!U17</f>
        <v>-158.26636837926748</v>
      </c>
      <c r="V12" s="90">
        <f>-'Project Cash Flow'!V17</f>
        <v>0</v>
      </c>
    </row>
    <row r="13" spans="1:22" ht="15" customHeight="1" x14ac:dyDescent="0.2">
      <c r="A13" s="5" t="s">
        <v>744</v>
      </c>
      <c r="B13" s="90">
        <f>-'Project Cash Flow'!B18</f>
        <v>0</v>
      </c>
      <c r="C13" s="90">
        <f>-'Project Cash Flow'!C18</f>
        <v>0</v>
      </c>
      <c r="D13" s="90">
        <f>-'Project Cash Flow'!D18</f>
        <v>0</v>
      </c>
      <c r="E13" s="90">
        <f>-'Project Cash Flow'!E18</f>
        <v>-24.230039062499998</v>
      </c>
      <c r="F13" s="90">
        <f>-'Project Cash Flow'!F18</f>
        <v>-37.253685058593746</v>
      </c>
      <c r="G13" s="90">
        <f>-'Project Cash Flow'!G18</f>
        <v>-45.822032622070296</v>
      </c>
      <c r="H13" s="90">
        <f>-'Project Cash Flow'!H18</f>
        <v>-52.186203819580058</v>
      </c>
      <c r="I13" s="90">
        <f>-'Project Cash Flow'!I18</f>
        <v>-53.490858915069566</v>
      </c>
      <c r="J13" s="90">
        <f>-'Project Cash Flow'!J18</f>
        <v>-54.828130387946302</v>
      </c>
      <c r="K13" s="90">
        <f>-'Project Cash Flow'!K18</f>
        <v>-56.198833647644946</v>
      </c>
      <c r="L13" s="90">
        <f>-'Project Cash Flow'!L18</f>
        <v>-57.603804488836076</v>
      </c>
      <c r="M13" s="90">
        <f>-'Project Cash Flow'!M18</f>
        <v>-59.043899601056971</v>
      </c>
      <c r="N13" s="90">
        <f>-'Project Cash Flow'!N18</f>
        <v>-60.519997091083383</v>
      </c>
      <c r="O13" s="90">
        <f>-'Project Cash Flow'!O18</f>
        <v>-62.032997018360476</v>
      </c>
      <c r="P13" s="90">
        <f>-'Project Cash Flow'!P18</f>
        <v>-63.58382194381948</v>
      </c>
      <c r="Q13" s="90">
        <f>-'Project Cash Flow'!Q18</f>
        <v>-65.17341749241497</v>
      </c>
      <c r="R13" s="90">
        <f>-'Project Cash Flow'!R18</f>
        <v>-66.802752929725344</v>
      </c>
      <c r="S13" s="90">
        <f>-'Project Cash Flow'!S18</f>
        <v>-68.472821752968457</v>
      </c>
      <c r="T13" s="90">
        <f>-'Project Cash Flow'!T18</f>
        <v>-70.184642296792688</v>
      </c>
      <c r="U13" s="90">
        <f>-'Project Cash Flow'!U18</f>
        <v>-71.939258354212498</v>
      </c>
      <c r="V13" s="90">
        <f>-'Project Cash Flow'!V18</f>
        <v>0</v>
      </c>
    </row>
    <row r="14" spans="1:22" ht="15" customHeight="1" x14ac:dyDescent="0.2">
      <c r="A14" s="5" t="s">
        <v>745</v>
      </c>
      <c r="B14" s="90">
        <f>-'Project Cash Flow'!B19</f>
        <v>0</v>
      </c>
      <c r="C14" s="90">
        <f>-'Project Cash Flow'!C19</f>
        <v>0</v>
      </c>
      <c r="D14" s="90">
        <f>-'Project Cash Flow'!D19</f>
        <v>0</v>
      </c>
      <c r="E14" s="90">
        <f>-'Project Cash Flow'!E19</f>
        <v>-22.614703124999995</v>
      </c>
      <c r="F14" s="90">
        <f>-'Project Cash Flow'!F19</f>
        <v>-34.770106054687496</v>
      </c>
      <c r="G14" s="90">
        <f>-'Project Cash Flow'!G19</f>
        <v>-42.767230447265611</v>
      </c>
      <c r="H14" s="90">
        <f>-'Project Cash Flow'!H19</f>
        <v>-48.707123564941384</v>
      </c>
      <c r="I14" s="90">
        <f>-'Project Cash Flow'!I19</f>
        <v>-49.924801654064922</v>
      </c>
      <c r="J14" s="90">
        <f>-'Project Cash Flow'!J19</f>
        <v>-51.172921695416541</v>
      </c>
      <c r="K14" s="90">
        <f>-'Project Cash Flow'!K19</f>
        <v>-52.452244737801948</v>
      </c>
      <c r="L14" s="90">
        <f>-'Project Cash Flow'!L19</f>
        <v>-53.763550856247001</v>
      </c>
      <c r="M14" s="90">
        <f>-'Project Cash Flow'!M19</f>
        <v>-55.107639627653171</v>
      </c>
      <c r="N14" s="90">
        <f>-'Project Cash Flow'!N19</f>
        <v>-56.485330618344491</v>
      </c>
      <c r="O14" s="90">
        <f>-'Project Cash Flow'!O19</f>
        <v>-57.897463883803105</v>
      </c>
      <c r="P14" s="90">
        <f>-'Project Cash Flow'!P19</f>
        <v>-59.344900480898183</v>
      </c>
      <c r="Q14" s="90">
        <f>-'Project Cash Flow'!Q19</f>
        <v>-60.828522992920639</v>
      </c>
      <c r="R14" s="90">
        <f>-'Project Cash Flow'!R19</f>
        <v>-62.349236067743654</v>
      </c>
      <c r="S14" s="90">
        <f>-'Project Cash Flow'!S19</f>
        <v>-63.907966969437233</v>
      </c>
      <c r="T14" s="90">
        <f>-'Project Cash Flow'!T19</f>
        <v>-65.505666143673167</v>
      </c>
      <c r="U14" s="90">
        <f>-'Project Cash Flow'!U19</f>
        <v>-67.143307797264995</v>
      </c>
      <c r="V14" s="90">
        <f>-'Project Cash Flow'!V19</f>
        <v>0</v>
      </c>
    </row>
    <row r="15" spans="1:22" ht="15" customHeight="1" x14ac:dyDescent="0.2">
      <c r="A15" s="5" t="s">
        <v>746</v>
      </c>
      <c r="B15" s="78">
        <f>-'Project Cash Flow'!B34</f>
        <v>0</v>
      </c>
      <c r="C15" s="78">
        <f>-'Project Cash Flow'!C34</f>
        <v>0</v>
      </c>
      <c r="D15" s="78">
        <f>-'Project Cash Flow'!D34</f>
        <v>0</v>
      </c>
      <c r="E15" s="78">
        <f>-'Project Cash Flow'!E34</f>
        <v>-53.809662683823525</v>
      </c>
      <c r="F15" s="78">
        <f>-'Project Cash Flow'!F34</f>
        <v>-59.019121082261023</v>
      </c>
      <c r="G15" s="78">
        <f>-'Project Cash Flow'!G34</f>
        <v>-62.446460107651646</v>
      </c>
      <c r="H15" s="78">
        <f>-'Project Cash Flow'!H34</f>
        <v>-64.992128586655554</v>
      </c>
      <c r="I15" s="78">
        <f>-'Project Cash Flow'!I34</f>
        <v>-65.513990624851346</v>
      </c>
      <c r="J15" s="78">
        <f>-'Project Cash Flow'!J34</f>
        <v>-66.048899214002049</v>
      </c>
      <c r="K15" s="78">
        <f>-'Project Cash Flow'!K34</f>
        <v>-66.597180517881512</v>
      </c>
      <c r="L15" s="78">
        <f>-'Project Cash Flow'!L34</f>
        <v>-67.159168854357958</v>
      </c>
      <c r="M15" s="78">
        <f>-'Project Cash Flow'!M34</f>
        <v>-67.735206899246322</v>
      </c>
      <c r="N15" s="78">
        <f>-'Project Cash Flow'!N34</f>
        <v>-68.325645895256883</v>
      </c>
      <c r="O15" s="78">
        <f>-'Project Cash Flow'!O34</f>
        <v>-68.930845866167715</v>
      </c>
      <c r="P15" s="78">
        <f>-'Project Cash Flow'!P34</f>
        <v>-69.55117583635132</v>
      </c>
      <c r="Q15" s="78">
        <f>-'Project Cash Flow'!Q34</f>
        <v>-70.187014055789518</v>
      </c>
      <c r="R15" s="78">
        <f>-'Project Cash Flow'!R34</f>
        <v>-70.838748230713662</v>
      </c>
      <c r="S15" s="78">
        <f>-'Project Cash Flow'!S34</f>
        <v>-71.506775760010925</v>
      </c>
      <c r="T15" s="78">
        <f>-'Project Cash Flow'!T34</f>
        <v>-72.191503977540606</v>
      </c>
      <c r="U15" s="78">
        <f>-'Project Cash Flow'!U34</f>
        <v>-72.893350400508524</v>
      </c>
      <c r="V15" s="78">
        <f>-'Project Cash Flow'!V34</f>
        <v>0</v>
      </c>
    </row>
    <row r="16" spans="1:22" ht="15" customHeight="1" x14ac:dyDescent="0.2">
      <c r="A16" s="5" t="s">
        <v>747</v>
      </c>
      <c r="B16" s="90">
        <f>'Project Cash Flow'!B12</f>
        <v>0</v>
      </c>
      <c r="C16" s="90">
        <f>'Project Cash Flow'!C12</f>
        <v>0</v>
      </c>
      <c r="D16" s="90">
        <f>'Project Cash Flow'!D12</f>
        <v>0</v>
      </c>
      <c r="E16" s="90">
        <f>'Project Cash Flow'!E12</f>
        <v>-9.5897202971292597</v>
      </c>
      <c r="F16" s="90">
        <f>'Project Cash Flow'!F12</f>
        <v>-14.557868548892976</v>
      </c>
      <c r="G16" s="90">
        <f>'Project Cash Flow'!G12</f>
        <v>-17.681546896987257</v>
      </c>
      <c r="H16" s="90">
        <f>'Project Cash Flow'!H12</f>
        <v>-19.886548475632505</v>
      </c>
      <c r="I16" s="90">
        <f>'Project Cash Flow'!I12</f>
        <v>-20.131741437525427</v>
      </c>
      <c r="J16" s="90">
        <f>'Project Cash Flow'!J12</f>
        <v>-22.067826896652257</v>
      </c>
      <c r="K16" s="90">
        <f>'Project Cash Flow'!K12</f>
        <v>-22.509183434585303</v>
      </c>
      <c r="L16" s="90">
        <f>'Project Cash Flow'!L12</f>
        <v>-22.95936710327701</v>
      </c>
      <c r="M16" s="90">
        <f>'Project Cash Flow'!M12</f>
        <v>-23.418554445342547</v>
      </c>
      <c r="N16" s="90">
        <f>'Project Cash Flow'!N12</f>
        <v>-23.8869255342494</v>
      </c>
      <c r="O16" s="90">
        <f>'Project Cash Flow'!O12</f>
        <v>-24.364664044934386</v>
      </c>
      <c r="P16" s="90">
        <f>'Project Cash Flow'!P12</f>
        <v>-24.851957325833077</v>
      </c>
      <c r="Q16" s="90">
        <f>'Project Cash Flow'!Q12</f>
        <v>-25.348996472349736</v>
      </c>
      <c r="R16" s="90">
        <f>'Project Cash Flow'!R12</f>
        <v>-25.855976401796731</v>
      </c>
      <c r="S16" s="90">
        <f>'Project Cash Flow'!S12</f>
        <v>-26.373095929832669</v>
      </c>
      <c r="T16" s="90">
        <f>'Project Cash Flow'!T12</f>
        <v>-26.900557848429322</v>
      </c>
      <c r="U16" s="90">
        <f>'Project Cash Flow'!U12</f>
        <v>-27.438569005397902</v>
      </c>
      <c r="V16" s="90">
        <f>'Project Cash Flow'!V12</f>
        <v>0</v>
      </c>
    </row>
    <row r="17" spans="1:22" ht="15" customHeight="1" x14ac:dyDescent="0.2">
      <c r="A17" s="5" t="s">
        <v>748</v>
      </c>
      <c r="B17" s="90">
        <f>-'Project Cash Flow'!B28</f>
        <v>0</v>
      </c>
      <c r="C17" s="90">
        <f>-'Project Cash Flow'!C28</f>
        <v>0</v>
      </c>
      <c r="D17" s="90">
        <f>-'Project Cash Flow'!D28</f>
        <v>0</v>
      </c>
      <c r="E17" s="90">
        <f>-'Project Cash Flow'!E28</f>
        <v>0</v>
      </c>
      <c r="F17" s="90">
        <f>-'Project Cash Flow'!F28</f>
        <v>0</v>
      </c>
      <c r="G17" s="90">
        <f>-'Project Cash Flow'!G28</f>
        <v>0</v>
      </c>
      <c r="H17" s="90">
        <f>-'Project Cash Flow'!H28</f>
        <v>0</v>
      </c>
      <c r="I17" s="90">
        <f>-'Project Cash Flow'!I28</f>
        <v>0</v>
      </c>
      <c r="J17" s="90">
        <f>-'Project Cash Flow'!J28</f>
        <v>0</v>
      </c>
      <c r="K17" s="90">
        <f>-'Project Cash Flow'!K28</f>
        <v>0</v>
      </c>
      <c r="L17" s="90">
        <f>-'Project Cash Flow'!L28</f>
        <v>0</v>
      </c>
      <c r="M17" s="90">
        <f>-'Project Cash Flow'!M28</f>
        <v>0</v>
      </c>
      <c r="N17" s="90">
        <f>-'Project Cash Flow'!N28</f>
        <v>0</v>
      </c>
      <c r="O17" s="90">
        <f>-'Project Cash Flow'!O28</f>
        <v>0</v>
      </c>
      <c r="P17" s="90">
        <f>-'Project Cash Flow'!P28</f>
        <v>0</v>
      </c>
      <c r="Q17" s="90">
        <f>-'Project Cash Flow'!Q28</f>
        <v>0</v>
      </c>
      <c r="R17" s="90">
        <f>-'Project Cash Flow'!R28</f>
        <v>0</v>
      </c>
      <c r="S17" s="90">
        <f>-'Project Cash Flow'!S28</f>
        <v>0</v>
      </c>
      <c r="T17" s="90">
        <f>-'Project Cash Flow'!T28</f>
        <v>0</v>
      </c>
      <c r="U17" s="90">
        <f>-'Project Cash Flow'!U28</f>
        <v>-40</v>
      </c>
      <c r="V17" s="90">
        <f>-'Project Cash Flow'!V28</f>
        <v>0</v>
      </c>
    </row>
    <row r="18" spans="1:22" ht="15" customHeight="1" x14ac:dyDescent="0.2">
      <c r="A18" s="35" t="s">
        <v>749</v>
      </c>
      <c r="B18" s="84">
        <f t="shared" ref="B18:V18" si="0">SUM(B11:B17)</f>
        <v>0</v>
      </c>
      <c r="C18" s="84">
        <f t="shared" si="0"/>
        <v>0</v>
      </c>
      <c r="D18" s="84">
        <f t="shared" si="0"/>
        <v>0</v>
      </c>
      <c r="E18" s="84">
        <f t="shared" si="0"/>
        <v>-208.77961735595275</v>
      </c>
      <c r="F18" s="84">
        <f t="shared" si="0"/>
        <v>-297.0990999827165</v>
      </c>
      <c r="G18" s="84">
        <f t="shared" si="0"/>
        <v>-355.06020273706071</v>
      </c>
      <c r="H18" s="84">
        <f t="shared" si="0"/>
        <v>-397.99589997976841</v>
      </c>
      <c r="I18" s="84">
        <f t="shared" si="0"/>
        <v>-406.59088555279413</v>
      </c>
      <c r="J18" s="84">
        <f t="shared" si="0"/>
        <v>-417.08550843833211</v>
      </c>
      <c r="K18" s="84">
        <f t="shared" si="0"/>
        <v>-426.29936583833648</v>
      </c>
      <c r="L18" s="84">
        <f t="shared" si="0"/>
        <v>-435.74136289065143</v>
      </c>
      <c r="M18" s="84">
        <f t="shared" si="0"/>
        <v>-445.41715895093063</v>
      </c>
      <c r="N18" s="84">
        <f t="shared" si="0"/>
        <v>-455.33255397600658</v>
      </c>
      <c r="O18" s="84">
        <f t="shared" si="0"/>
        <v>-465.4934920212649</v>
      </c>
      <c r="P18" s="84">
        <f t="shared" si="0"/>
        <v>-475.90606482510128</v>
      </c>
      <c r="Q18" s="84">
        <f t="shared" si="0"/>
        <v>-486.57651548262902</v>
      </c>
      <c r="R18" s="84">
        <f t="shared" si="0"/>
        <v>-497.51124221086241</v>
      </c>
      <c r="S18" s="84">
        <f t="shared" si="0"/>
        <v>-508.71680220765433</v>
      </c>
      <c r="T18" s="84">
        <f t="shared" si="0"/>
        <v>-520.19991560672599</v>
      </c>
      <c r="U18" s="84">
        <f t="shared" si="0"/>
        <v>-571.96746953118134</v>
      </c>
      <c r="V18" s="84">
        <f t="shared" si="0"/>
        <v>0</v>
      </c>
    </row>
    <row r="20" spans="1:22" ht="15" customHeight="1" x14ac:dyDescent="0.2">
      <c r="A20" s="35" t="s">
        <v>750</v>
      </c>
      <c r="B20" s="84">
        <f t="shared" ref="B20:V20" si="1">B8+B18</f>
        <v>0</v>
      </c>
      <c r="C20" s="84">
        <f t="shared" si="1"/>
        <v>0</v>
      </c>
      <c r="D20" s="84">
        <f t="shared" si="1"/>
        <v>0</v>
      </c>
      <c r="E20" s="84">
        <f t="shared" si="1"/>
        <v>110.87772588168926</v>
      </c>
      <c r="F20" s="84">
        <f t="shared" si="1"/>
        <v>188.16318498038277</v>
      </c>
      <c r="G20" s="84">
        <f t="shared" si="1"/>
        <v>234.32469382918117</v>
      </c>
      <c r="H20" s="84">
        <f t="shared" si="1"/>
        <v>264.88904920798177</v>
      </c>
      <c r="I20" s="84">
        <f t="shared" si="1"/>
        <v>264.46716236472014</v>
      </c>
      <c r="J20" s="84">
        <f t="shared" si="1"/>
        <v>318.50872145007645</v>
      </c>
      <c r="K20" s="84">
        <f t="shared" si="1"/>
        <v>324.00674864784037</v>
      </c>
      <c r="L20" s="84">
        <f t="shared" si="1"/>
        <v>329.57087388524894</v>
      </c>
      <c r="M20" s="84">
        <f t="shared" si="1"/>
        <v>335.20132256048765</v>
      </c>
      <c r="N20" s="84">
        <f t="shared" si="1"/>
        <v>340.89829716564009</v>
      </c>
      <c r="O20" s="84">
        <f t="shared" si="1"/>
        <v>346.66197614321464</v>
      </c>
      <c r="P20" s="84">
        <f t="shared" si="1"/>
        <v>352.49251270266797</v>
      </c>
      <c r="Q20" s="84">
        <f t="shared" si="1"/>
        <v>358.39003359569551</v>
      </c>
      <c r="R20" s="84">
        <f t="shared" si="1"/>
        <v>364.35463784902868</v>
      </c>
      <c r="S20" s="84">
        <f t="shared" si="1"/>
        <v>370.38639545343466</v>
      </c>
      <c r="T20" s="84">
        <f t="shared" si="1"/>
        <v>376.48534600758478</v>
      </c>
      <c r="U20" s="84">
        <f t="shared" si="1"/>
        <v>342.65149731541544</v>
      </c>
      <c r="V20" s="84">
        <f t="shared" si="1"/>
        <v>0</v>
      </c>
    </row>
    <row r="22" spans="1:22" ht="15" customHeight="1" x14ac:dyDescent="0.2">
      <c r="A22" s="5" t="s">
        <v>751</v>
      </c>
      <c r="B22" s="90">
        <f>-'Project Cash Flow'!B20</f>
        <v>0</v>
      </c>
      <c r="C22" s="90">
        <f>-'Project Cash Flow'!C20</f>
        <v>0</v>
      </c>
      <c r="D22" s="90">
        <f>-'Project Cash Flow'!D20</f>
        <v>0</v>
      </c>
      <c r="E22" s="90">
        <f>-'Project Cash Flow'!E20</f>
        <v>-9.692015624999998</v>
      </c>
      <c r="F22" s="90">
        <f>-'Project Cash Flow'!F20</f>
        <v>-14.901474023437496</v>
      </c>
      <c r="G22" s="90">
        <f>-'Project Cash Flow'!G20</f>
        <v>-18.328813048828117</v>
      </c>
      <c r="H22" s="90">
        <f>-'Project Cash Flow'!H20</f>
        <v>-20.874481527832025</v>
      </c>
      <c r="I22" s="90">
        <f>-'Project Cash Flow'!I20</f>
        <v>-21.396343566027824</v>
      </c>
      <c r="J22" s="90">
        <f>-'Project Cash Flow'!J20</f>
        <v>-21.931252155178516</v>
      </c>
      <c r="K22" s="90">
        <f>-'Project Cash Flow'!K20</f>
        <v>-22.479533459057979</v>
      </c>
      <c r="L22" s="90">
        <f>-'Project Cash Flow'!L20</f>
        <v>-23.041521795534429</v>
      </c>
      <c r="M22" s="90">
        <f>-'Project Cash Flow'!M20</f>
        <v>-23.617559840422786</v>
      </c>
      <c r="N22" s="90">
        <f>-'Project Cash Flow'!N20</f>
        <v>-24.207998836433354</v>
      </c>
      <c r="O22" s="90">
        <f>-'Project Cash Flow'!O20</f>
        <v>-24.813198807344186</v>
      </c>
      <c r="P22" s="90">
        <f>-'Project Cash Flow'!P20</f>
        <v>-25.433528777527791</v>
      </c>
      <c r="Q22" s="90">
        <f>-'Project Cash Flow'!Q20</f>
        <v>-26.069366996965989</v>
      </c>
      <c r="R22" s="90">
        <f>-'Project Cash Flow'!R20</f>
        <v>-26.721101171890137</v>
      </c>
      <c r="S22" s="90">
        <f>-'Project Cash Flow'!S20</f>
        <v>-27.389128701187389</v>
      </c>
      <c r="T22" s="90">
        <f>-'Project Cash Flow'!T20</f>
        <v>-28.07385691871707</v>
      </c>
      <c r="U22" s="90">
        <f>-'Project Cash Flow'!U20</f>
        <v>-28.775703341685002</v>
      </c>
      <c r="V22" s="90">
        <f>-'Project Cash Flow'!V20</f>
        <v>0</v>
      </c>
    </row>
    <row r="24" spans="1:22" ht="15" customHeight="1" x14ac:dyDescent="0.2">
      <c r="A24" s="35" t="s">
        <v>752</v>
      </c>
      <c r="B24" s="84">
        <f t="shared" ref="B24:V24" si="2">B20+B22</f>
        <v>0</v>
      </c>
      <c r="C24" s="84">
        <f t="shared" si="2"/>
        <v>0</v>
      </c>
      <c r="D24" s="84">
        <f t="shared" si="2"/>
        <v>0</v>
      </c>
      <c r="E24" s="84">
        <f t="shared" si="2"/>
        <v>101.18571025668926</v>
      </c>
      <c r="F24" s="84">
        <f t="shared" si="2"/>
        <v>173.26171095694528</v>
      </c>
      <c r="G24" s="84">
        <f t="shared" si="2"/>
        <v>215.99588078035305</v>
      </c>
      <c r="H24" s="84">
        <f t="shared" si="2"/>
        <v>244.01456768014975</v>
      </c>
      <c r="I24" s="84">
        <f t="shared" si="2"/>
        <v>243.0708187986923</v>
      </c>
      <c r="J24" s="84">
        <f t="shared" si="2"/>
        <v>296.57746929489792</v>
      </c>
      <c r="K24" s="84">
        <f t="shared" si="2"/>
        <v>301.52721518878241</v>
      </c>
      <c r="L24" s="84">
        <f t="shared" si="2"/>
        <v>306.52935208971451</v>
      </c>
      <c r="M24" s="84">
        <f t="shared" si="2"/>
        <v>311.5837627200649</v>
      </c>
      <c r="N24" s="84">
        <f t="shared" si="2"/>
        <v>316.69029832920671</v>
      </c>
      <c r="O24" s="84">
        <f t="shared" si="2"/>
        <v>321.84877733587047</v>
      </c>
      <c r="P24" s="84">
        <f t="shared" si="2"/>
        <v>327.05898392514018</v>
      </c>
      <c r="Q24" s="84">
        <f t="shared" si="2"/>
        <v>332.32066659872953</v>
      </c>
      <c r="R24" s="84">
        <f t="shared" si="2"/>
        <v>337.63353667713852</v>
      </c>
      <c r="S24" s="84">
        <f t="shared" si="2"/>
        <v>342.99726675224724</v>
      </c>
      <c r="T24" s="84">
        <f t="shared" si="2"/>
        <v>348.41148908886771</v>
      </c>
      <c r="U24" s="84">
        <f t="shared" si="2"/>
        <v>313.87579397373042</v>
      </c>
      <c r="V24" s="84">
        <f t="shared" si="2"/>
        <v>0</v>
      </c>
    </row>
    <row r="26" spans="1:22" ht="15" customHeight="1" x14ac:dyDescent="0.2">
      <c r="A26" s="25" t="s">
        <v>753</v>
      </c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</row>
    <row r="27" spans="1:22" ht="15" customHeight="1" x14ac:dyDescent="0.2">
      <c r="A27" s="5" t="s">
        <v>754</v>
      </c>
      <c r="B27" s="78">
        <v>0</v>
      </c>
      <c r="C27" s="78">
        <v>0</v>
      </c>
      <c r="D27" s="78">
        <v>0</v>
      </c>
      <c r="E27" s="78">
        <v>0</v>
      </c>
      <c r="F27" s="78">
        <v>0</v>
      </c>
      <c r="G27" s="78">
        <v>0</v>
      </c>
      <c r="H27" s="78">
        <v>0</v>
      </c>
      <c r="I27" s="78">
        <v>0</v>
      </c>
      <c r="J27" s="78">
        <v>0</v>
      </c>
      <c r="K27" s="78">
        <v>0</v>
      </c>
      <c r="L27" s="78">
        <v>0</v>
      </c>
      <c r="M27" s="78">
        <v>0</v>
      </c>
      <c r="N27" s="78">
        <v>0</v>
      </c>
      <c r="O27" s="78">
        <v>0</v>
      </c>
      <c r="P27" s="78">
        <v>0</v>
      </c>
      <c r="Q27" s="78">
        <v>0</v>
      </c>
      <c r="R27" s="78">
        <v>0</v>
      </c>
      <c r="S27" s="78">
        <v>0</v>
      </c>
      <c r="T27" s="78">
        <v>0</v>
      </c>
      <c r="U27" s="78">
        <v>0</v>
      </c>
      <c r="V27" s="78">
        <v>0</v>
      </c>
    </row>
    <row r="28" spans="1:22" ht="15" customHeight="1" x14ac:dyDescent="0.2">
      <c r="A28" s="5" t="s">
        <v>755</v>
      </c>
      <c r="B28" s="90">
        <f>-'Debt Schedule'!B19</f>
        <v>0</v>
      </c>
      <c r="C28" s="90">
        <f>-'Debt Schedule'!C19</f>
        <v>0</v>
      </c>
      <c r="D28" s="90">
        <f>-'Debt Schedule'!D19</f>
        <v>0</v>
      </c>
      <c r="E28" s="90">
        <f>-'Debt Schedule'!E19</f>
        <v>-36.833333333333329</v>
      </c>
      <c r="F28" s="90">
        <f>-'Debt Schedule'!F19</f>
        <v>-32.5</v>
      </c>
      <c r="G28" s="90">
        <f>-'Debt Schedule'!G19</f>
        <v>-28.166666666666661</v>
      </c>
      <c r="H28" s="90">
        <f>-'Debt Schedule'!H19</f>
        <v>-23.833333333333332</v>
      </c>
      <c r="I28" s="90">
        <f>-'Debt Schedule'!I19</f>
        <v>-19.499999999999996</v>
      </c>
      <c r="J28" s="90">
        <f>-'Debt Schedule'!J19</f>
        <v>-15.166666666666661</v>
      </c>
      <c r="K28" s="90">
        <f>-'Debt Schedule'!K19</f>
        <v>-10.83333333333333</v>
      </c>
      <c r="L28" s="90">
        <f>-'Debt Schedule'!L19</f>
        <v>-6.4999999999999964</v>
      </c>
      <c r="M28" s="90">
        <f>-'Debt Schedule'!M19</f>
        <v>-2.1666666666666647</v>
      </c>
      <c r="N28" s="90">
        <f>-'Debt Schedule'!N19</f>
        <v>0</v>
      </c>
      <c r="O28" s="90">
        <f>-'Debt Schedule'!O19</f>
        <v>0</v>
      </c>
      <c r="P28" s="90">
        <f>-'Debt Schedule'!P19</f>
        <v>0</v>
      </c>
      <c r="Q28" s="90">
        <f>-'Debt Schedule'!Q19</f>
        <v>0</v>
      </c>
      <c r="R28" s="90">
        <f>-'Debt Schedule'!R19</f>
        <v>0</v>
      </c>
      <c r="S28" s="90">
        <f>-'Debt Schedule'!S19</f>
        <v>0</v>
      </c>
      <c r="T28" s="90">
        <f>-'Debt Schedule'!T19</f>
        <v>0</v>
      </c>
      <c r="U28" s="90">
        <f>-'Debt Schedule'!U19</f>
        <v>0</v>
      </c>
      <c r="V28" s="90">
        <f>-'Debt Schedule'!V19</f>
        <v>0</v>
      </c>
    </row>
    <row r="29" spans="1:22" ht="15" customHeight="1" x14ac:dyDescent="0.2">
      <c r="A29" s="35" t="s">
        <v>756</v>
      </c>
      <c r="B29" s="84">
        <f t="shared" ref="B29:V29" si="3">B27+B28</f>
        <v>0</v>
      </c>
      <c r="C29" s="84">
        <f t="shared" si="3"/>
        <v>0</v>
      </c>
      <c r="D29" s="84">
        <f t="shared" si="3"/>
        <v>0</v>
      </c>
      <c r="E29" s="84">
        <f t="shared" si="3"/>
        <v>-36.833333333333329</v>
      </c>
      <c r="F29" s="84">
        <f t="shared" si="3"/>
        <v>-32.5</v>
      </c>
      <c r="G29" s="84">
        <f t="shared" si="3"/>
        <v>-28.166666666666661</v>
      </c>
      <c r="H29" s="84">
        <f t="shared" si="3"/>
        <v>-23.833333333333332</v>
      </c>
      <c r="I29" s="84">
        <f t="shared" si="3"/>
        <v>-19.499999999999996</v>
      </c>
      <c r="J29" s="84">
        <f t="shared" si="3"/>
        <v>-15.166666666666661</v>
      </c>
      <c r="K29" s="84">
        <f t="shared" si="3"/>
        <v>-10.83333333333333</v>
      </c>
      <c r="L29" s="84">
        <f t="shared" si="3"/>
        <v>-6.4999999999999964</v>
      </c>
      <c r="M29" s="84">
        <f t="shared" si="3"/>
        <v>-2.1666666666666647</v>
      </c>
      <c r="N29" s="84">
        <f t="shared" si="3"/>
        <v>0</v>
      </c>
      <c r="O29" s="84">
        <f t="shared" si="3"/>
        <v>0</v>
      </c>
      <c r="P29" s="84">
        <f t="shared" si="3"/>
        <v>0</v>
      </c>
      <c r="Q29" s="84">
        <f t="shared" si="3"/>
        <v>0</v>
      </c>
      <c r="R29" s="84">
        <f t="shared" si="3"/>
        <v>0</v>
      </c>
      <c r="S29" s="84">
        <f t="shared" si="3"/>
        <v>0</v>
      </c>
      <c r="T29" s="84">
        <f t="shared" si="3"/>
        <v>0</v>
      </c>
      <c r="U29" s="84">
        <f t="shared" si="3"/>
        <v>0</v>
      </c>
      <c r="V29" s="84">
        <f t="shared" si="3"/>
        <v>0</v>
      </c>
    </row>
    <row r="31" spans="1:22" ht="15" customHeight="1" x14ac:dyDescent="0.2">
      <c r="A31" s="35" t="s">
        <v>757</v>
      </c>
      <c r="B31" s="84">
        <f t="shared" ref="B31:V31" si="4">B24+B29</f>
        <v>0</v>
      </c>
      <c r="C31" s="84">
        <f t="shared" si="4"/>
        <v>0</v>
      </c>
      <c r="D31" s="84">
        <f t="shared" si="4"/>
        <v>0</v>
      </c>
      <c r="E31" s="84">
        <f t="shared" si="4"/>
        <v>64.352376923355934</v>
      </c>
      <c r="F31" s="84">
        <f t="shared" si="4"/>
        <v>140.76171095694528</v>
      </c>
      <c r="G31" s="84">
        <f t="shared" si="4"/>
        <v>187.82921411368639</v>
      </c>
      <c r="H31" s="84">
        <f t="shared" si="4"/>
        <v>220.18123434681641</v>
      </c>
      <c r="I31" s="84">
        <f t="shared" si="4"/>
        <v>223.5708187986923</v>
      </c>
      <c r="J31" s="84">
        <f t="shared" si="4"/>
        <v>281.41080262823124</v>
      </c>
      <c r="K31" s="84">
        <f t="shared" si="4"/>
        <v>290.69388185544909</v>
      </c>
      <c r="L31" s="84">
        <f t="shared" si="4"/>
        <v>300.02935208971451</v>
      </c>
      <c r="M31" s="84">
        <f t="shared" si="4"/>
        <v>309.41709605339821</v>
      </c>
      <c r="N31" s="84">
        <f t="shared" si="4"/>
        <v>316.69029832920671</v>
      </c>
      <c r="O31" s="84">
        <f t="shared" si="4"/>
        <v>321.84877733587047</v>
      </c>
      <c r="P31" s="84">
        <f t="shared" si="4"/>
        <v>327.05898392514018</v>
      </c>
      <c r="Q31" s="84">
        <f t="shared" si="4"/>
        <v>332.32066659872953</v>
      </c>
      <c r="R31" s="84">
        <f t="shared" si="4"/>
        <v>337.63353667713852</v>
      </c>
      <c r="S31" s="84">
        <f t="shared" si="4"/>
        <v>342.99726675224724</v>
      </c>
      <c r="T31" s="84">
        <f t="shared" si="4"/>
        <v>348.41148908886771</v>
      </c>
      <c r="U31" s="84">
        <f t="shared" si="4"/>
        <v>313.87579397373042</v>
      </c>
      <c r="V31" s="84">
        <f t="shared" si="4"/>
        <v>0</v>
      </c>
    </row>
    <row r="32" spans="1:22" ht="15" customHeight="1" x14ac:dyDescent="0.2">
      <c r="A32" s="5" t="s">
        <v>758</v>
      </c>
      <c r="B32" s="78">
        <f>-MAX(0,B31)*Assumptions!B9</f>
        <v>0</v>
      </c>
      <c r="C32" s="78">
        <f>-MAX(0,C31)*Assumptions!B9</f>
        <v>0</v>
      </c>
      <c r="D32" s="78">
        <f>-MAX(0,D31)*Assumptions!B9</f>
        <v>0</v>
      </c>
      <c r="E32" s="78">
        <f>-MAX(0,E31)*Assumptions!B9</f>
        <v>-18.018665538539665</v>
      </c>
      <c r="F32" s="78">
        <f>-MAX(0,F31)*Assumptions!B9</f>
        <v>-39.413279067944679</v>
      </c>
      <c r="G32" s="78">
        <f>-MAX(0,G31)*Assumptions!B9</f>
        <v>-52.592179951832193</v>
      </c>
      <c r="H32" s="78">
        <f>-MAX(0,H31)*Assumptions!B9</f>
        <v>-61.650745617108598</v>
      </c>
      <c r="I32" s="78">
        <f>-MAX(0,I31)*Assumptions!B9</f>
        <v>-62.59982926363385</v>
      </c>
      <c r="J32" s="78">
        <f>-MAX(0,J31)*Assumptions!B9</f>
        <v>-78.795024735904761</v>
      </c>
      <c r="K32" s="78">
        <f>-MAX(0,K31)*Assumptions!B9</f>
        <v>-81.394286919525754</v>
      </c>
      <c r="L32" s="78">
        <f>-MAX(0,L31)*Assumptions!B9</f>
        <v>-84.008218585120076</v>
      </c>
      <c r="M32" s="78">
        <f>-MAX(0,M31)*Assumptions!B9</f>
        <v>-86.636786894951513</v>
      </c>
      <c r="N32" s="78">
        <f>-MAX(0,N31)*Assumptions!B9</f>
        <v>-88.673283532177891</v>
      </c>
      <c r="O32" s="78">
        <f>-MAX(0,O31)*Assumptions!B9</f>
        <v>-90.11765765404374</v>
      </c>
      <c r="P32" s="78">
        <f>-MAX(0,P31)*Assumptions!B9</f>
        <v>-91.57651549903926</v>
      </c>
      <c r="Q32" s="78">
        <f>-MAX(0,Q31)*Assumptions!B9</f>
        <v>-93.049786647644282</v>
      </c>
      <c r="R32" s="78">
        <f>-MAX(0,R31)*Assumptions!B9</f>
        <v>-94.537390269598802</v>
      </c>
      <c r="S32" s="78">
        <f>-MAX(0,S31)*Assumptions!B9</f>
        <v>-96.039234690629243</v>
      </c>
      <c r="T32" s="78">
        <f>-MAX(0,T31)*Assumptions!B9</f>
        <v>-97.555216944882972</v>
      </c>
      <c r="U32" s="78">
        <f>-MAX(0,U31)*Assumptions!B9</f>
        <v>-87.88522231264453</v>
      </c>
      <c r="V32" s="78">
        <f>-MAX(0,V31)*Assumptions!B9</f>
        <v>0</v>
      </c>
    </row>
    <row r="34" spans="1:22" ht="15" customHeight="1" x14ac:dyDescent="0.2">
      <c r="A34" s="35" t="s">
        <v>759</v>
      </c>
      <c r="B34" s="87">
        <f t="shared" ref="B34:V34" si="5">B31+B32</f>
        <v>0</v>
      </c>
      <c r="C34" s="87">
        <f t="shared" si="5"/>
        <v>0</v>
      </c>
      <c r="D34" s="87">
        <f t="shared" si="5"/>
        <v>0</v>
      </c>
      <c r="E34" s="87">
        <f t="shared" si="5"/>
        <v>46.333711384816269</v>
      </c>
      <c r="F34" s="87">
        <f t="shared" si="5"/>
        <v>101.34843188900061</v>
      </c>
      <c r="G34" s="87">
        <f t="shared" si="5"/>
        <v>135.23703416185418</v>
      </c>
      <c r="H34" s="87">
        <f t="shared" si="5"/>
        <v>158.53048872970783</v>
      </c>
      <c r="I34" s="87">
        <f t="shared" si="5"/>
        <v>160.97098953505844</v>
      </c>
      <c r="J34" s="87">
        <f t="shared" si="5"/>
        <v>202.61577789232649</v>
      </c>
      <c r="K34" s="87">
        <f t="shared" si="5"/>
        <v>209.29959493592332</v>
      </c>
      <c r="L34" s="87">
        <f t="shared" si="5"/>
        <v>216.02113350459445</v>
      </c>
      <c r="M34" s="87">
        <f t="shared" si="5"/>
        <v>222.7803091584467</v>
      </c>
      <c r="N34" s="87">
        <f t="shared" si="5"/>
        <v>228.01701479702882</v>
      </c>
      <c r="O34" s="87">
        <f t="shared" si="5"/>
        <v>231.73111968182673</v>
      </c>
      <c r="P34" s="87">
        <f t="shared" si="5"/>
        <v>235.48246842610092</v>
      </c>
      <c r="Q34" s="87">
        <f t="shared" si="5"/>
        <v>239.27087995108525</v>
      </c>
      <c r="R34" s="87">
        <f t="shared" si="5"/>
        <v>243.09614640753972</v>
      </c>
      <c r="S34" s="87">
        <f t="shared" si="5"/>
        <v>246.95803206161798</v>
      </c>
      <c r="T34" s="87">
        <f t="shared" si="5"/>
        <v>250.85627214398474</v>
      </c>
      <c r="U34" s="87">
        <f t="shared" si="5"/>
        <v>225.99057166108588</v>
      </c>
      <c r="V34" s="87">
        <f t="shared" si="5"/>
        <v>0</v>
      </c>
    </row>
    <row r="36" spans="1:22" ht="15" customHeight="1" x14ac:dyDescent="0.2">
      <c r="A36" s="35" t="s">
        <v>760</v>
      </c>
      <c r="B36" s="87">
        <f t="shared" ref="B36:V36" si="6">B34</f>
        <v>0</v>
      </c>
      <c r="C36" s="87">
        <f t="shared" si="6"/>
        <v>0</v>
      </c>
      <c r="D36" s="87">
        <f t="shared" si="6"/>
        <v>0</v>
      </c>
      <c r="E36" s="87">
        <f t="shared" si="6"/>
        <v>46.333711384816269</v>
      </c>
      <c r="F36" s="87">
        <f t="shared" si="6"/>
        <v>101.34843188900061</v>
      </c>
      <c r="G36" s="87">
        <f t="shared" si="6"/>
        <v>135.23703416185418</v>
      </c>
      <c r="H36" s="87">
        <f t="shared" si="6"/>
        <v>158.53048872970783</v>
      </c>
      <c r="I36" s="87">
        <f t="shared" si="6"/>
        <v>160.97098953505844</v>
      </c>
      <c r="J36" s="87">
        <f t="shared" si="6"/>
        <v>202.61577789232649</v>
      </c>
      <c r="K36" s="87">
        <f t="shared" si="6"/>
        <v>209.29959493592332</v>
      </c>
      <c r="L36" s="87">
        <f t="shared" si="6"/>
        <v>216.02113350459445</v>
      </c>
      <c r="M36" s="87">
        <f t="shared" si="6"/>
        <v>222.7803091584467</v>
      </c>
      <c r="N36" s="87">
        <f t="shared" si="6"/>
        <v>228.01701479702882</v>
      </c>
      <c r="O36" s="87">
        <f t="shared" si="6"/>
        <v>231.73111968182673</v>
      </c>
      <c r="P36" s="87">
        <f t="shared" si="6"/>
        <v>235.48246842610092</v>
      </c>
      <c r="Q36" s="87">
        <f t="shared" si="6"/>
        <v>239.27087995108525</v>
      </c>
      <c r="R36" s="87">
        <f t="shared" si="6"/>
        <v>243.09614640753972</v>
      </c>
      <c r="S36" s="87">
        <f t="shared" si="6"/>
        <v>246.95803206161798</v>
      </c>
      <c r="T36" s="87">
        <f t="shared" si="6"/>
        <v>250.85627214398474</v>
      </c>
      <c r="U36" s="87">
        <f t="shared" si="6"/>
        <v>225.99057166108588</v>
      </c>
      <c r="V36" s="87">
        <f t="shared" si="6"/>
        <v>0</v>
      </c>
    </row>
    <row r="38" spans="1:22" ht="15" customHeight="1" x14ac:dyDescent="0.2">
      <c r="A38" s="12" t="s">
        <v>761</v>
      </c>
      <c r="B38" s="100">
        <f t="shared" ref="B38:V38" si="7">B24-B15-B17</f>
        <v>0</v>
      </c>
      <c r="C38" s="100">
        <f t="shared" si="7"/>
        <v>0</v>
      </c>
      <c r="D38" s="100">
        <f t="shared" si="7"/>
        <v>0</v>
      </c>
      <c r="E38" s="100">
        <f t="shared" si="7"/>
        <v>154.99537294051279</v>
      </c>
      <c r="F38" s="100">
        <f t="shared" si="7"/>
        <v>232.2808320392063</v>
      </c>
      <c r="G38" s="100">
        <f t="shared" si="7"/>
        <v>278.44234088800471</v>
      </c>
      <c r="H38" s="100">
        <f t="shared" si="7"/>
        <v>309.00669626680531</v>
      </c>
      <c r="I38" s="100">
        <f t="shared" si="7"/>
        <v>308.58480942354367</v>
      </c>
      <c r="J38" s="100">
        <f t="shared" si="7"/>
        <v>362.62636850889999</v>
      </c>
      <c r="K38" s="100">
        <f t="shared" si="7"/>
        <v>368.1243957066639</v>
      </c>
      <c r="L38" s="100">
        <f t="shared" si="7"/>
        <v>373.68852094407248</v>
      </c>
      <c r="M38" s="100">
        <f t="shared" si="7"/>
        <v>379.31896961931125</v>
      </c>
      <c r="N38" s="100">
        <f t="shared" si="7"/>
        <v>385.01594422446362</v>
      </c>
      <c r="O38" s="100">
        <f t="shared" si="7"/>
        <v>390.77962320203818</v>
      </c>
      <c r="P38" s="100">
        <f t="shared" si="7"/>
        <v>396.6101597614915</v>
      </c>
      <c r="Q38" s="100">
        <f t="shared" si="7"/>
        <v>402.50768065451905</v>
      </c>
      <c r="R38" s="100">
        <f t="shared" si="7"/>
        <v>408.47228490785221</v>
      </c>
      <c r="S38" s="100">
        <f t="shared" si="7"/>
        <v>414.50404251225814</v>
      </c>
      <c r="T38" s="100">
        <f t="shared" si="7"/>
        <v>420.60299306640832</v>
      </c>
      <c r="U38" s="100">
        <f t="shared" si="7"/>
        <v>426.76914437423898</v>
      </c>
      <c r="V38" s="100">
        <f t="shared" si="7"/>
        <v>0</v>
      </c>
    </row>
    <row r="39" spans="1:22" ht="15" customHeight="1" x14ac:dyDescent="0.2">
      <c r="A39" s="12" t="s">
        <v>762</v>
      </c>
      <c r="B39" s="97">
        <f t="shared" ref="B39:V39" si="8">IF(B8&lt;&gt;0,B38/B8,0)</f>
        <v>0</v>
      </c>
      <c r="C39" s="97">
        <f t="shared" si="8"/>
        <v>0</v>
      </c>
      <c r="D39" s="97">
        <f t="shared" si="8"/>
        <v>0</v>
      </c>
      <c r="E39" s="97">
        <f t="shared" si="8"/>
        <v>0.48487975083145518</v>
      </c>
      <c r="F39" s="97">
        <f t="shared" si="8"/>
        <v>0.47867068848523764</v>
      </c>
      <c r="G39" s="97">
        <f t="shared" si="8"/>
        <v>0.47242870068474879</v>
      </c>
      <c r="H39" s="97">
        <f t="shared" si="8"/>
        <v>0.46615434042579951</v>
      </c>
      <c r="I39" s="97">
        <f t="shared" si="8"/>
        <v>0.45984816124502331</v>
      </c>
      <c r="J39" s="97">
        <f t="shared" si="8"/>
        <v>0.49297065389421457</v>
      </c>
      <c r="K39" s="97">
        <f t="shared" si="8"/>
        <v>0.4906322747466374</v>
      </c>
      <c r="L39" s="97">
        <f t="shared" si="8"/>
        <v>0.48828243295617968</v>
      </c>
      <c r="M39" s="97">
        <f t="shared" si="8"/>
        <v>0.48592107233341603</v>
      </c>
      <c r="N39" s="97">
        <f t="shared" si="8"/>
        <v>0.48354813641348171</v>
      </c>
      <c r="O39" s="97">
        <f t="shared" si="8"/>
        <v>0.48116356845472424</v>
      </c>
      <c r="P39" s="97">
        <f t="shared" si="8"/>
        <v>0.47876731143734552</v>
      </c>
      <c r="Q39" s="97">
        <f t="shared" si="8"/>
        <v>0.47635930806203836</v>
      </c>
      <c r="R39" s="97">
        <f t="shared" si="8"/>
        <v>0.47393950074861702</v>
      </c>
      <c r="S39" s="97">
        <f t="shared" si="8"/>
        <v>0.47150783163463972</v>
      </c>
      <c r="T39" s="97">
        <f t="shared" si="8"/>
        <v>0.46906424257402518</v>
      </c>
      <c r="U39" s="97">
        <f t="shared" si="8"/>
        <v>0.46660867513566251</v>
      </c>
      <c r="V39" s="97">
        <f t="shared" si="8"/>
        <v>0</v>
      </c>
    </row>
    <row r="42" spans="1:22" ht="15" customHeight="1" x14ac:dyDescent="0.2">
      <c r="A42" s="47" t="s">
        <v>763</v>
      </c>
    </row>
    <row r="44" spans="1:22" ht="15" customHeight="1" x14ac:dyDescent="0.2">
      <c r="A44" s="39" t="s">
        <v>535</v>
      </c>
      <c r="B44" s="69">
        <f>Assumptions!B4+0</f>
        <v>2025</v>
      </c>
      <c r="C44" s="69">
        <f>Assumptions!B4+1</f>
        <v>2026</v>
      </c>
      <c r="D44" s="69">
        <f>Assumptions!B4+2</f>
        <v>2027</v>
      </c>
      <c r="E44" s="69">
        <f>Assumptions!B4+3</f>
        <v>2028</v>
      </c>
      <c r="F44" s="69">
        <f>Assumptions!B4+4</f>
        <v>2029</v>
      </c>
      <c r="G44" s="69">
        <f>Assumptions!B4+5</f>
        <v>2030</v>
      </c>
      <c r="H44" s="69">
        <f>Assumptions!B4+6</f>
        <v>2031</v>
      </c>
      <c r="I44" s="69">
        <f>Assumptions!B4+7</f>
        <v>2032</v>
      </c>
      <c r="J44" s="69">
        <f>Assumptions!B4+8</f>
        <v>2033</v>
      </c>
      <c r="K44" s="69">
        <f>Assumptions!B4+9</f>
        <v>2034</v>
      </c>
      <c r="L44" s="69">
        <f>Assumptions!B4+10</f>
        <v>2035</v>
      </c>
      <c r="M44" s="69">
        <f>Assumptions!B4+11</f>
        <v>2036</v>
      </c>
      <c r="N44" s="69">
        <f>Assumptions!B4+12</f>
        <v>2037</v>
      </c>
      <c r="O44" s="69">
        <f>Assumptions!B4+13</f>
        <v>2038</v>
      </c>
      <c r="P44" s="69">
        <f>Assumptions!B4+14</f>
        <v>2039</v>
      </c>
      <c r="Q44" s="69">
        <f>Assumptions!B4+15</f>
        <v>2040</v>
      </c>
      <c r="R44" s="69">
        <f>Assumptions!B4+16</f>
        <v>2041</v>
      </c>
      <c r="S44" s="69">
        <f>Assumptions!B4+17</f>
        <v>2042</v>
      </c>
      <c r="T44" s="69">
        <f>Assumptions!B4+18</f>
        <v>2043</v>
      </c>
      <c r="U44" s="69">
        <f>Assumptions!B4+19</f>
        <v>2044</v>
      </c>
      <c r="V44" s="69">
        <f>Assumptions!B4+20</f>
        <v>2045</v>
      </c>
    </row>
    <row r="46" spans="1:22" ht="15" customHeight="1" x14ac:dyDescent="0.2">
      <c r="A46" s="3" t="s">
        <v>764</v>
      </c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</row>
    <row r="47" spans="1:22" ht="15" customHeight="1" x14ac:dyDescent="0.2">
      <c r="A47" s="5" t="s">
        <v>765</v>
      </c>
      <c r="B47" s="78">
        <f>'Project Cash Flow'!B26+'Project Cash Flow'!B27</f>
        <v>225</v>
      </c>
      <c r="C47" s="78">
        <f>B47+'Project Cash Flow'!C26+'Project Cash Flow'!C27</f>
        <v>562.5</v>
      </c>
      <c r="D47" s="78">
        <f>C47+'Project Cash Flow'!D26+'Project Cash Flow'!D27</f>
        <v>750</v>
      </c>
      <c r="E47" s="78">
        <f>D47+'Project Cash Flow'!E26+'Project Cash Flow'!E27</f>
        <v>759.69201562499995</v>
      </c>
      <c r="F47" s="78">
        <f>E47+'Project Cash Flow'!F26+'Project Cash Flow'!F27</f>
        <v>774.59348964843741</v>
      </c>
      <c r="G47" s="78">
        <f>F47+'Project Cash Flow'!G26+'Project Cash Flow'!G27</f>
        <v>792.92230269726554</v>
      </c>
      <c r="H47" s="78">
        <f>G47+'Project Cash Flow'!H26+'Project Cash Flow'!H27</f>
        <v>813.79678422509755</v>
      </c>
      <c r="I47" s="78">
        <f>H47+'Project Cash Flow'!I26+'Project Cash Flow'!I27</f>
        <v>835.19312779112533</v>
      </c>
      <c r="J47" s="78">
        <f>I47+'Project Cash Flow'!J26+'Project Cash Flow'!J27</f>
        <v>857.12437994630386</v>
      </c>
      <c r="K47" s="78">
        <f>J47+'Project Cash Flow'!K26+'Project Cash Flow'!K27</f>
        <v>879.60391340536182</v>
      </c>
      <c r="L47" s="78">
        <f>K47+'Project Cash Flow'!L26+'Project Cash Flow'!L27</f>
        <v>902.64543520089626</v>
      </c>
      <c r="M47" s="78">
        <f>L47+'Project Cash Flow'!M26+'Project Cash Flow'!M27</f>
        <v>926.26299504131907</v>
      </c>
      <c r="N47" s="78">
        <f>M47+'Project Cash Flow'!N26+'Project Cash Flow'!N27</f>
        <v>950.47099387775245</v>
      </c>
      <c r="O47" s="78">
        <f>N47+'Project Cash Flow'!O26+'Project Cash Flow'!O27</f>
        <v>975.28419268509663</v>
      </c>
      <c r="P47" s="78">
        <f>O47+'Project Cash Flow'!P26+'Project Cash Flow'!P27</f>
        <v>1000.7177214626245</v>
      </c>
      <c r="Q47" s="78">
        <f>P47+'Project Cash Flow'!Q26+'Project Cash Flow'!Q27</f>
        <v>1026.7870884595904</v>
      </c>
      <c r="R47" s="78">
        <f>Q47+'Project Cash Flow'!R26+'Project Cash Flow'!R27</f>
        <v>1053.5081896314805</v>
      </c>
      <c r="S47" s="78">
        <f>R47+'Project Cash Flow'!S26+'Project Cash Flow'!S27</f>
        <v>1080.897318332668</v>
      </c>
      <c r="T47" s="78">
        <f>S47+'Project Cash Flow'!T26+'Project Cash Flow'!T27</f>
        <v>1108.9711752513849</v>
      </c>
      <c r="U47" s="78">
        <f>T47+'Project Cash Flow'!U26+'Project Cash Flow'!U27</f>
        <v>1137.7468785930698</v>
      </c>
      <c r="V47" s="78">
        <f>U47+'Project Cash Flow'!V26+'Project Cash Flow'!V27</f>
        <v>1137.7468785930698</v>
      </c>
    </row>
    <row r="48" spans="1:22" ht="15" customHeight="1" x14ac:dyDescent="0.2">
      <c r="A48" s="5" t="s">
        <v>766</v>
      </c>
      <c r="B48" s="78">
        <v>0</v>
      </c>
      <c r="C48" s="78">
        <f>B48-'Project Cash Flow'!C34</f>
        <v>0</v>
      </c>
      <c r="D48" s="78">
        <f>C48-'Project Cash Flow'!D34</f>
        <v>0</v>
      </c>
      <c r="E48" s="78">
        <f>D48-'Project Cash Flow'!E34</f>
        <v>-53.809662683823525</v>
      </c>
      <c r="F48" s="78">
        <f>E48-'Project Cash Flow'!F34</f>
        <v>-112.82878376608454</v>
      </c>
      <c r="G48" s="78">
        <f>F48-'Project Cash Flow'!G34</f>
        <v>-175.2752438737362</v>
      </c>
      <c r="H48" s="78">
        <f>G48-'Project Cash Flow'!H34</f>
        <v>-240.26737246039175</v>
      </c>
      <c r="I48" s="78">
        <f>H48-'Project Cash Flow'!I34</f>
        <v>-305.78136308524313</v>
      </c>
      <c r="J48" s="78">
        <f>I48-'Project Cash Flow'!J34</f>
        <v>-371.83026229924519</v>
      </c>
      <c r="K48" s="78">
        <f>J48-'Project Cash Flow'!K34</f>
        <v>-438.42744281712669</v>
      </c>
      <c r="L48" s="78">
        <f>K48-'Project Cash Flow'!L34</f>
        <v>-505.58661167148466</v>
      </c>
      <c r="M48" s="78">
        <f>L48-'Project Cash Flow'!M34</f>
        <v>-573.32181857073101</v>
      </c>
      <c r="N48" s="78">
        <f>M48-'Project Cash Flow'!N34</f>
        <v>-641.64746446598792</v>
      </c>
      <c r="O48" s="78">
        <f>N48-'Project Cash Flow'!O34</f>
        <v>-710.57831033215564</v>
      </c>
      <c r="P48" s="78">
        <f>O48-'Project Cash Flow'!P34</f>
        <v>-780.1294861685069</v>
      </c>
      <c r="Q48" s="78">
        <f>P48-'Project Cash Flow'!Q34</f>
        <v>-850.31650022429642</v>
      </c>
      <c r="R48" s="78">
        <f>Q48-'Project Cash Flow'!R34</f>
        <v>-921.15524845501011</v>
      </c>
      <c r="S48" s="78">
        <f>R48-'Project Cash Flow'!S34</f>
        <v>-992.66202421502101</v>
      </c>
      <c r="T48" s="78">
        <f>S48-'Project Cash Flow'!T34</f>
        <v>-1064.8535281925615</v>
      </c>
      <c r="U48" s="78">
        <f>T48-'Project Cash Flow'!U34</f>
        <v>-1137.7468785930701</v>
      </c>
      <c r="V48" s="78">
        <f>U48-'Project Cash Flow'!V34</f>
        <v>-1137.7468785930701</v>
      </c>
    </row>
    <row r="49" spans="1:22" ht="15" customHeight="1" x14ac:dyDescent="0.2">
      <c r="A49" s="35" t="s">
        <v>767</v>
      </c>
      <c r="B49" s="84">
        <f t="shared" ref="B49:V49" si="9">B47+B48</f>
        <v>225</v>
      </c>
      <c r="C49" s="84">
        <f t="shared" si="9"/>
        <v>562.5</v>
      </c>
      <c r="D49" s="84">
        <f t="shared" si="9"/>
        <v>750</v>
      </c>
      <c r="E49" s="84">
        <f t="shared" si="9"/>
        <v>705.88235294117646</v>
      </c>
      <c r="F49" s="84">
        <f t="shared" si="9"/>
        <v>661.76470588235293</v>
      </c>
      <c r="G49" s="84">
        <f t="shared" si="9"/>
        <v>617.64705882352928</v>
      </c>
      <c r="H49" s="84">
        <f t="shared" si="9"/>
        <v>573.52941176470586</v>
      </c>
      <c r="I49" s="84">
        <f t="shared" si="9"/>
        <v>529.41176470588221</v>
      </c>
      <c r="J49" s="84">
        <f t="shared" si="9"/>
        <v>485.29411764705867</v>
      </c>
      <c r="K49" s="84">
        <f t="shared" si="9"/>
        <v>441.17647058823513</v>
      </c>
      <c r="L49" s="84">
        <f t="shared" si="9"/>
        <v>397.0588235294116</v>
      </c>
      <c r="M49" s="84">
        <f t="shared" si="9"/>
        <v>352.94117647058806</v>
      </c>
      <c r="N49" s="84">
        <f t="shared" si="9"/>
        <v>308.82352941176453</v>
      </c>
      <c r="O49" s="84">
        <f t="shared" si="9"/>
        <v>264.70588235294099</v>
      </c>
      <c r="P49" s="84">
        <f t="shared" si="9"/>
        <v>220.58823529411757</v>
      </c>
      <c r="Q49" s="84">
        <f t="shared" si="9"/>
        <v>176.47058823529403</v>
      </c>
      <c r="R49" s="84">
        <f t="shared" si="9"/>
        <v>132.35294117647038</v>
      </c>
      <c r="S49" s="84">
        <f t="shared" si="9"/>
        <v>88.235294117646959</v>
      </c>
      <c r="T49" s="84">
        <f t="shared" si="9"/>
        <v>44.117647058823422</v>
      </c>
      <c r="U49" s="84">
        <f t="shared" si="9"/>
        <v>0</v>
      </c>
      <c r="V49" s="84">
        <f t="shared" si="9"/>
        <v>0</v>
      </c>
    </row>
    <row r="50" spans="1:22" ht="15" customHeight="1" x14ac:dyDescent="0.2">
      <c r="A50" s="5" t="s">
        <v>768</v>
      </c>
      <c r="B50" s="78">
        <v>0</v>
      </c>
      <c r="C50" s="78">
        <v>0</v>
      </c>
      <c r="D50" s="78">
        <v>0</v>
      </c>
      <c r="E50" s="78">
        <v>0</v>
      </c>
      <c r="F50" s="78">
        <v>0</v>
      </c>
      <c r="G50" s="78">
        <v>0</v>
      </c>
      <c r="H50" s="78">
        <v>0</v>
      </c>
      <c r="I50" s="78">
        <v>0</v>
      </c>
      <c r="J50" s="78">
        <v>0</v>
      </c>
      <c r="K50" s="78">
        <v>0</v>
      </c>
      <c r="L50" s="78">
        <v>0</v>
      </c>
      <c r="M50" s="78">
        <v>0</v>
      </c>
      <c r="N50" s="78">
        <v>0</v>
      </c>
      <c r="O50" s="78">
        <v>0</v>
      </c>
      <c r="P50" s="78">
        <v>0</v>
      </c>
      <c r="Q50" s="78">
        <v>0</v>
      </c>
      <c r="R50" s="78">
        <v>0</v>
      </c>
      <c r="S50" s="78">
        <v>0</v>
      </c>
      <c r="T50" s="78">
        <v>0</v>
      </c>
      <c r="U50" s="78">
        <v>0</v>
      </c>
      <c r="V50" s="78">
        <v>0</v>
      </c>
    </row>
    <row r="51" spans="1:22" ht="15" customHeight="1" x14ac:dyDescent="0.2">
      <c r="A51" s="35" t="s">
        <v>769</v>
      </c>
      <c r="B51" s="84">
        <f t="shared" ref="B51:V51" si="10">B49+B50</f>
        <v>225</v>
      </c>
      <c r="C51" s="84">
        <f t="shared" si="10"/>
        <v>562.5</v>
      </c>
      <c r="D51" s="84">
        <f t="shared" si="10"/>
        <v>750</v>
      </c>
      <c r="E51" s="84">
        <f t="shared" si="10"/>
        <v>705.88235294117646</v>
      </c>
      <c r="F51" s="84">
        <f t="shared" si="10"/>
        <v>661.76470588235293</v>
      </c>
      <c r="G51" s="84">
        <f t="shared" si="10"/>
        <v>617.64705882352928</v>
      </c>
      <c r="H51" s="84">
        <f t="shared" si="10"/>
        <v>573.52941176470586</v>
      </c>
      <c r="I51" s="84">
        <f t="shared" si="10"/>
        <v>529.41176470588221</v>
      </c>
      <c r="J51" s="84">
        <f t="shared" si="10"/>
        <v>485.29411764705867</v>
      </c>
      <c r="K51" s="84">
        <f t="shared" si="10"/>
        <v>441.17647058823513</v>
      </c>
      <c r="L51" s="84">
        <f t="shared" si="10"/>
        <v>397.0588235294116</v>
      </c>
      <c r="M51" s="84">
        <f t="shared" si="10"/>
        <v>352.94117647058806</v>
      </c>
      <c r="N51" s="84">
        <f t="shared" si="10"/>
        <v>308.82352941176453</v>
      </c>
      <c r="O51" s="84">
        <f t="shared" si="10"/>
        <v>264.70588235294099</v>
      </c>
      <c r="P51" s="84">
        <f t="shared" si="10"/>
        <v>220.58823529411757</v>
      </c>
      <c r="Q51" s="84">
        <f t="shared" si="10"/>
        <v>176.47058823529403</v>
      </c>
      <c r="R51" s="84">
        <f t="shared" si="10"/>
        <v>132.35294117647038</v>
      </c>
      <c r="S51" s="84">
        <f t="shared" si="10"/>
        <v>88.235294117646959</v>
      </c>
      <c r="T51" s="84">
        <f t="shared" si="10"/>
        <v>44.117647058823422</v>
      </c>
      <c r="U51" s="84">
        <f t="shared" si="10"/>
        <v>0</v>
      </c>
      <c r="V51" s="84">
        <f t="shared" si="10"/>
        <v>0</v>
      </c>
    </row>
    <row r="53" spans="1:22" ht="15" customHeight="1" x14ac:dyDescent="0.2">
      <c r="A53" s="3" t="s">
        <v>770</v>
      </c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</row>
    <row r="54" spans="1:22" ht="15" customHeight="1" x14ac:dyDescent="0.2">
      <c r="A54" s="5" t="s">
        <v>771</v>
      </c>
      <c r="B54" s="78">
        <f>'Working Capital'!B26</f>
        <v>0</v>
      </c>
      <c r="C54" s="78">
        <f>'Working Capital'!C26</f>
        <v>0</v>
      </c>
      <c r="D54" s="78">
        <f>'Working Capital'!D26</f>
        <v>0</v>
      </c>
      <c r="E54" s="78">
        <f>'Working Capital'!E26</f>
        <v>40.786126027397259</v>
      </c>
      <c r="F54" s="78">
        <f>'Working Capital'!F26</f>
        <v>62.708668767123271</v>
      </c>
      <c r="G54" s="78">
        <f>'Working Capital'!G26</f>
        <v>64.276385486301351</v>
      </c>
      <c r="H54" s="78">
        <f>'Working Capital'!H26</f>
        <v>73.203661248287645</v>
      </c>
      <c r="I54" s="78">
        <f>'Working Capital'!I26</f>
        <v>75.033752779494847</v>
      </c>
      <c r="J54" s="78">
        <f>'Working Capital'!J26</f>
        <v>76.909596598982205</v>
      </c>
      <c r="K54" s="78">
        <f>'Working Capital'!K26</f>
        <v>78.832336513956747</v>
      </c>
      <c r="L54" s="78">
        <f>'Working Capital'!L26</f>
        <v>80.803144926805658</v>
      </c>
      <c r="M54" s="78">
        <f>'Working Capital'!M26</f>
        <v>82.823223549975793</v>
      </c>
      <c r="N54" s="78">
        <f>'Working Capital'!N26</f>
        <v>84.893804138725187</v>
      </c>
      <c r="O54" s="78">
        <f>'Working Capital'!O26</f>
        <v>87.016149242193308</v>
      </c>
      <c r="P54" s="78">
        <f>'Working Capital'!P26</f>
        <v>89.191552973248136</v>
      </c>
      <c r="Q54" s="78">
        <f>'Working Capital'!Q26</f>
        <v>91.421341797579345</v>
      </c>
      <c r="R54" s="78">
        <f>'Working Capital'!R26</f>
        <v>93.706875342518828</v>
      </c>
      <c r="S54" s="78">
        <f>'Working Capital'!S26</f>
        <v>96.049547226081785</v>
      </c>
      <c r="T54" s="78">
        <f>'Working Capital'!T26</f>
        <v>98.450785906733827</v>
      </c>
      <c r="U54" s="78">
        <f>'Working Capital'!U26</f>
        <v>100.91205555440219</v>
      </c>
      <c r="V54" s="78">
        <f>'Working Capital'!V26</f>
        <v>0</v>
      </c>
    </row>
    <row r="55" spans="1:22" ht="15" customHeight="1" x14ac:dyDescent="0.2">
      <c r="A55" s="5" t="s">
        <v>772</v>
      </c>
      <c r="B55" s="78">
        <f>'Working Capital'!B19</f>
        <v>0</v>
      </c>
      <c r="C55" s="78">
        <f>'Working Capital'!C19</f>
        <v>0</v>
      </c>
      <c r="D55" s="78">
        <f>'Working Capital'!D19</f>
        <v>0</v>
      </c>
      <c r="E55" s="78">
        <f>'Working Capital'!E19</f>
        <v>80.74324973612157</v>
      </c>
      <c r="F55" s="78">
        <f>'Working Capital'!F19</f>
        <v>123.01968318853299</v>
      </c>
      <c r="G55" s="78">
        <f>'Working Capital'!G19</f>
        <v>124.96688960630013</v>
      </c>
      <c r="H55" s="78">
        <f>'Working Capital'!H19</f>
        <v>141.06383261743923</v>
      </c>
      <c r="I55" s="78">
        <f>'Working Capital'!I19</f>
        <v>143.32482192603649</v>
      </c>
      <c r="J55" s="78">
        <f>'Working Capital'!J19</f>
        <v>154.1046142344959</v>
      </c>
      <c r="K55" s="78">
        <f>'Working Capital'!K19</f>
        <v>157.40301475962048</v>
      </c>
      <c r="L55" s="78">
        <f>'Working Capital'!L19</f>
        <v>160.77279100125838</v>
      </c>
      <c r="M55" s="78">
        <f>'Working Capital'!M19</f>
        <v>164.21550566639013</v>
      </c>
      <c r="N55" s="78">
        <f>'Working Capital'!N19</f>
        <v>167.73275609595228</v>
      </c>
      <c r="O55" s="78">
        <f>'Working Capital'!O19</f>
        <v>171.32617504201147</v>
      </c>
      <c r="P55" s="78">
        <f>'Working Capital'!P19</f>
        <v>174.99743146259539</v>
      </c>
      <c r="Q55" s="78">
        <f>'Working Capital'!Q19</f>
        <v>178.74823133458455</v>
      </c>
      <c r="R55" s="78">
        <f>'Working Capital'!R19</f>
        <v>182.58031848508196</v>
      </c>
      <c r="S55" s="78">
        <f>'Working Capital'!S19</f>
        <v>186.49547544168436</v>
      </c>
      <c r="T55" s="78">
        <f>'Working Capital'!T19</f>
        <v>190.49552430209144</v>
      </c>
      <c r="U55" s="78">
        <f>'Working Capital'!U19</f>
        <v>194.58232762349593</v>
      </c>
      <c r="V55" s="78">
        <f>'Working Capital'!V19</f>
        <v>0</v>
      </c>
    </row>
    <row r="56" spans="1:22" ht="15" customHeight="1" x14ac:dyDescent="0.2">
      <c r="A56" s="5" t="s">
        <v>773</v>
      </c>
      <c r="B56" s="78">
        <f t="shared" ref="B56:V56" si="11">B112</f>
        <v>0</v>
      </c>
      <c r="C56" s="78">
        <f t="shared" si="11"/>
        <v>0</v>
      </c>
      <c r="D56" s="78">
        <f t="shared" si="11"/>
        <v>0</v>
      </c>
      <c r="E56" s="78">
        <f t="shared" si="11"/>
        <v>-39.360292205723802</v>
      </c>
      <c r="F56" s="78">
        <f t="shared" si="11"/>
        <v>12.403004465488017</v>
      </c>
      <c r="G56" s="78">
        <f t="shared" si="11"/>
        <v>135.83977719162925</v>
      </c>
      <c r="H56" s="78">
        <f t="shared" si="11"/>
        <v>269.34021277260302</v>
      </c>
      <c r="I56" s="78">
        <f t="shared" si="11"/>
        <v>418.2299548326219</v>
      </c>
      <c r="J56" s="78">
        <f t="shared" si="11"/>
        <v>600.25140128608189</v>
      </c>
      <c r="K56" s="78">
        <f t="shared" si="11"/>
        <v>796.44391857840935</v>
      </c>
      <c r="L56" s="78">
        <f t="shared" si="11"/>
        <v>999.29260728512884</v>
      </c>
      <c r="M56" s="78">
        <f t="shared" si="11"/>
        <v>1208.833691998497</v>
      </c>
      <c r="N56" s="78">
        <f t="shared" si="11"/>
        <v>1477.7099259983809</v>
      </c>
      <c r="O56" s="78">
        <f t="shared" si="11"/>
        <v>1750.2305669309055</v>
      </c>
      <c r="P56" s="78">
        <f t="shared" si="11"/>
        <v>2026.4313514616281</v>
      </c>
      <c r="Q56" s="78">
        <f t="shared" si="11"/>
        <v>2306.3478022025893</v>
      </c>
      <c r="R56" s="78">
        <f t="shared" si="11"/>
        <v>2590.0152002115728</v>
      </c>
      <c r="S56" s="78">
        <f t="shared" si="11"/>
        <v>2877.4685563608573</v>
      </c>
      <c r="T56" s="78">
        <f t="shared" si="11"/>
        <v>3168.7425815383403</v>
      </c>
      <c r="U56" s="78">
        <f t="shared" si="11"/>
        <v>3435.0716556428038</v>
      </c>
      <c r="V56" s="78">
        <f t="shared" si="11"/>
        <v>3617.0399763219993</v>
      </c>
    </row>
    <row r="57" spans="1:22" ht="15" customHeight="1" x14ac:dyDescent="0.2">
      <c r="A57" s="35" t="s">
        <v>774</v>
      </c>
      <c r="B57" s="84">
        <f t="shared" ref="B57:V57" si="12">B54+B55+B56</f>
        <v>0</v>
      </c>
      <c r="C57" s="84">
        <f t="shared" si="12"/>
        <v>0</v>
      </c>
      <c r="D57" s="84">
        <f t="shared" si="12"/>
        <v>0</v>
      </c>
      <c r="E57" s="84">
        <f t="shared" si="12"/>
        <v>82.169083557795034</v>
      </c>
      <c r="F57" s="84">
        <f t="shared" si="12"/>
        <v>198.13135642114426</v>
      </c>
      <c r="G57" s="84">
        <f t="shared" si="12"/>
        <v>325.08305228423075</v>
      </c>
      <c r="H57" s="84">
        <f t="shared" si="12"/>
        <v>483.60770663832989</v>
      </c>
      <c r="I57" s="84">
        <f t="shared" si="12"/>
        <v>636.58852953815324</v>
      </c>
      <c r="J57" s="84">
        <f t="shared" si="12"/>
        <v>831.26561211956005</v>
      </c>
      <c r="K57" s="84">
        <f t="shared" si="12"/>
        <v>1032.6792698519866</v>
      </c>
      <c r="L57" s="84">
        <f t="shared" si="12"/>
        <v>1240.8685432131929</v>
      </c>
      <c r="M57" s="84">
        <f t="shared" si="12"/>
        <v>1455.8724212148629</v>
      </c>
      <c r="N57" s="84">
        <f t="shared" si="12"/>
        <v>1730.3364862330584</v>
      </c>
      <c r="O57" s="84">
        <f t="shared" si="12"/>
        <v>2008.5728912151103</v>
      </c>
      <c r="P57" s="84">
        <f t="shared" si="12"/>
        <v>2290.6203358974717</v>
      </c>
      <c r="Q57" s="84">
        <f t="shared" si="12"/>
        <v>2576.5173753347531</v>
      </c>
      <c r="R57" s="84">
        <f t="shared" si="12"/>
        <v>2866.3023940391736</v>
      </c>
      <c r="S57" s="84">
        <f t="shared" si="12"/>
        <v>3160.0135790286236</v>
      </c>
      <c r="T57" s="84">
        <f t="shared" si="12"/>
        <v>3457.6888917471656</v>
      </c>
      <c r="U57" s="84">
        <f t="shared" si="12"/>
        <v>3730.566038820702</v>
      </c>
      <c r="V57" s="84">
        <f t="shared" si="12"/>
        <v>3617.0399763219993</v>
      </c>
    </row>
    <row r="59" spans="1:22" ht="15" customHeight="1" x14ac:dyDescent="0.2">
      <c r="A59" s="35" t="s">
        <v>775</v>
      </c>
      <c r="B59" s="87">
        <f t="shared" ref="B59:V59" si="13">B51+B57</f>
        <v>225</v>
      </c>
      <c r="C59" s="87">
        <f t="shared" si="13"/>
        <v>562.5</v>
      </c>
      <c r="D59" s="87">
        <f t="shared" si="13"/>
        <v>750</v>
      </c>
      <c r="E59" s="87">
        <f t="shared" si="13"/>
        <v>788.0514364989715</v>
      </c>
      <c r="F59" s="87">
        <f t="shared" si="13"/>
        <v>859.89606230349716</v>
      </c>
      <c r="G59" s="87">
        <f t="shared" si="13"/>
        <v>942.73011110775997</v>
      </c>
      <c r="H59" s="87">
        <f t="shared" si="13"/>
        <v>1057.1371184030359</v>
      </c>
      <c r="I59" s="87">
        <f t="shared" si="13"/>
        <v>1166.0002942440356</v>
      </c>
      <c r="J59" s="87">
        <f t="shared" si="13"/>
        <v>1316.5597297666186</v>
      </c>
      <c r="K59" s="87">
        <f t="shared" si="13"/>
        <v>1473.8557404402218</v>
      </c>
      <c r="L59" s="87">
        <f t="shared" si="13"/>
        <v>1637.9273667426046</v>
      </c>
      <c r="M59" s="87">
        <f t="shared" si="13"/>
        <v>1808.813597685451</v>
      </c>
      <c r="N59" s="87">
        <f t="shared" si="13"/>
        <v>2039.160015644823</v>
      </c>
      <c r="O59" s="87">
        <f t="shared" si="13"/>
        <v>2273.2787735680513</v>
      </c>
      <c r="P59" s="87">
        <f t="shared" si="13"/>
        <v>2511.2085711915893</v>
      </c>
      <c r="Q59" s="87">
        <f t="shared" si="13"/>
        <v>2752.9879635700472</v>
      </c>
      <c r="R59" s="87">
        <f t="shared" si="13"/>
        <v>2998.6553352156438</v>
      </c>
      <c r="S59" s="87">
        <f t="shared" si="13"/>
        <v>3248.2488731462704</v>
      </c>
      <c r="T59" s="87">
        <f t="shared" si="13"/>
        <v>3501.806538805989</v>
      </c>
      <c r="U59" s="87">
        <f t="shared" si="13"/>
        <v>3730.566038820702</v>
      </c>
      <c r="V59" s="87">
        <f t="shared" si="13"/>
        <v>3617.0399763219993</v>
      </c>
    </row>
    <row r="61" spans="1:22" ht="15" customHeight="1" x14ac:dyDescent="0.2">
      <c r="A61" s="19" t="s">
        <v>776</v>
      </c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</row>
    <row r="62" spans="1:22" ht="15" customHeight="1" x14ac:dyDescent="0.2">
      <c r="A62" s="5" t="s">
        <v>777</v>
      </c>
      <c r="B62" s="90">
        <f>'Equity Cash Flow'!B9</f>
        <v>78.75</v>
      </c>
      <c r="C62" s="90">
        <f>B62+'Equity Cash Flow'!C9</f>
        <v>196.875</v>
      </c>
      <c r="D62" s="90">
        <f>C62+'Equity Cash Flow'!D9</f>
        <v>262.5</v>
      </c>
      <c r="E62" s="90">
        <f>D62+'Equity Cash Flow'!E9</f>
        <v>262.5</v>
      </c>
      <c r="F62" s="90">
        <f>E62+'Equity Cash Flow'!F9</f>
        <v>262.5</v>
      </c>
      <c r="G62" s="90">
        <f>F62+'Equity Cash Flow'!G9</f>
        <v>262.5</v>
      </c>
      <c r="H62" s="90">
        <f>G62+'Equity Cash Flow'!H9</f>
        <v>262.5</v>
      </c>
      <c r="I62" s="90">
        <f>H62+'Equity Cash Flow'!I9</f>
        <v>262.5</v>
      </c>
      <c r="J62" s="90">
        <f>I62+'Equity Cash Flow'!J9</f>
        <v>262.5</v>
      </c>
      <c r="K62" s="90">
        <f>J62+'Equity Cash Flow'!K9</f>
        <v>262.5</v>
      </c>
      <c r="L62" s="90">
        <f>K62+'Equity Cash Flow'!L9</f>
        <v>262.5</v>
      </c>
      <c r="M62" s="90">
        <f>L62+'Equity Cash Flow'!M9</f>
        <v>262.5</v>
      </c>
      <c r="N62" s="90">
        <f>M62+'Equity Cash Flow'!N9</f>
        <v>262.5</v>
      </c>
      <c r="O62" s="90">
        <f>N62+'Equity Cash Flow'!O9</f>
        <v>262.5</v>
      </c>
      <c r="P62" s="90">
        <f>O62+'Equity Cash Flow'!P9</f>
        <v>262.5</v>
      </c>
      <c r="Q62" s="90">
        <f>P62+'Equity Cash Flow'!Q9</f>
        <v>262.5</v>
      </c>
      <c r="R62" s="90">
        <f>Q62+'Equity Cash Flow'!R9</f>
        <v>262.5</v>
      </c>
      <c r="S62" s="90">
        <f>R62+'Equity Cash Flow'!S9</f>
        <v>262.5</v>
      </c>
      <c r="T62" s="90">
        <f>S62+'Equity Cash Flow'!T9</f>
        <v>262.5</v>
      </c>
      <c r="U62" s="90">
        <f>T62+'Equity Cash Flow'!U9</f>
        <v>262.5</v>
      </c>
      <c r="V62" s="90">
        <f>U62+'Equity Cash Flow'!V9</f>
        <v>262.5</v>
      </c>
    </row>
    <row r="63" spans="1:22" ht="15" customHeight="1" x14ac:dyDescent="0.2">
      <c r="A63" s="5" t="s">
        <v>778</v>
      </c>
      <c r="B63" s="78">
        <f>B34</f>
        <v>0</v>
      </c>
      <c r="C63" s="78">
        <f t="shared" ref="C63:V63" si="14">B63+C34</f>
        <v>0</v>
      </c>
      <c r="D63" s="78">
        <f t="shared" si="14"/>
        <v>0</v>
      </c>
      <c r="E63" s="78">
        <f t="shared" si="14"/>
        <v>46.333711384816269</v>
      </c>
      <c r="F63" s="78">
        <f t="shared" si="14"/>
        <v>147.68214327381688</v>
      </c>
      <c r="G63" s="78">
        <f t="shared" si="14"/>
        <v>282.91917743567103</v>
      </c>
      <c r="H63" s="78">
        <f t="shared" si="14"/>
        <v>441.44966616537886</v>
      </c>
      <c r="I63" s="78">
        <f t="shared" si="14"/>
        <v>602.42065570043724</v>
      </c>
      <c r="J63" s="78">
        <f t="shared" si="14"/>
        <v>805.03643359276373</v>
      </c>
      <c r="K63" s="78">
        <f t="shared" si="14"/>
        <v>1014.3360285286871</v>
      </c>
      <c r="L63" s="78">
        <f t="shared" si="14"/>
        <v>1230.3571620332814</v>
      </c>
      <c r="M63" s="78">
        <f t="shared" si="14"/>
        <v>1453.1374711917281</v>
      </c>
      <c r="N63" s="78">
        <f t="shared" si="14"/>
        <v>1681.154485988757</v>
      </c>
      <c r="O63" s="78">
        <f t="shared" si="14"/>
        <v>1912.8856056705836</v>
      </c>
      <c r="P63" s="78">
        <f t="shared" si="14"/>
        <v>2148.3680740966847</v>
      </c>
      <c r="Q63" s="78">
        <f t="shared" si="14"/>
        <v>2387.6389540477699</v>
      </c>
      <c r="R63" s="78">
        <f t="shared" si="14"/>
        <v>2630.7351004553097</v>
      </c>
      <c r="S63" s="78">
        <f t="shared" si="14"/>
        <v>2877.6931325169276</v>
      </c>
      <c r="T63" s="78">
        <f t="shared" si="14"/>
        <v>3128.5494046609124</v>
      </c>
      <c r="U63" s="78">
        <f t="shared" si="14"/>
        <v>3354.5399763219984</v>
      </c>
      <c r="V63" s="78">
        <f t="shared" si="14"/>
        <v>3354.5399763219984</v>
      </c>
    </row>
    <row r="64" spans="1:22" ht="15" customHeight="1" x14ac:dyDescent="0.2">
      <c r="A64" s="35" t="s">
        <v>779</v>
      </c>
      <c r="B64" s="84">
        <f t="shared" ref="B64:V64" si="15">B62+B63</f>
        <v>78.75</v>
      </c>
      <c r="C64" s="84">
        <f t="shared" si="15"/>
        <v>196.875</v>
      </c>
      <c r="D64" s="84">
        <f t="shared" si="15"/>
        <v>262.5</v>
      </c>
      <c r="E64" s="84">
        <f t="shared" si="15"/>
        <v>308.8337113848163</v>
      </c>
      <c r="F64" s="84">
        <f t="shared" si="15"/>
        <v>410.18214327381691</v>
      </c>
      <c r="G64" s="84">
        <f t="shared" si="15"/>
        <v>545.41917743567103</v>
      </c>
      <c r="H64" s="84">
        <f t="shared" si="15"/>
        <v>703.94966616537886</v>
      </c>
      <c r="I64" s="84">
        <f t="shared" si="15"/>
        <v>864.92065570043724</v>
      </c>
      <c r="J64" s="84">
        <f t="shared" si="15"/>
        <v>1067.5364335927638</v>
      </c>
      <c r="K64" s="84">
        <f t="shared" si="15"/>
        <v>1276.8360285286872</v>
      </c>
      <c r="L64" s="84">
        <f t="shared" si="15"/>
        <v>1492.8571620332814</v>
      </c>
      <c r="M64" s="84">
        <f t="shared" si="15"/>
        <v>1715.6374711917281</v>
      </c>
      <c r="N64" s="84">
        <f t="shared" si="15"/>
        <v>1943.654485988757</v>
      </c>
      <c r="O64" s="84">
        <f t="shared" si="15"/>
        <v>2175.3856056705836</v>
      </c>
      <c r="P64" s="84">
        <f t="shared" si="15"/>
        <v>2410.8680740966847</v>
      </c>
      <c r="Q64" s="84">
        <f t="shared" si="15"/>
        <v>2650.1389540477699</v>
      </c>
      <c r="R64" s="84">
        <f t="shared" si="15"/>
        <v>2893.2351004553097</v>
      </c>
      <c r="S64" s="84">
        <f t="shared" si="15"/>
        <v>3140.1931325169276</v>
      </c>
      <c r="T64" s="84">
        <f t="shared" si="15"/>
        <v>3391.0494046609124</v>
      </c>
      <c r="U64" s="84">
        <f t="shared" si="15"/>
        <v>3617.0399763219984</v>
      </c>
      <c r="V64" s="84">
        <f t="shared" si="15"/>
        <v>3617.0399763219984</v>
      </c>
    </row>
    <row r="66" spans="1:22" ht="15" customHeight="1" x14ac:dyDescent="0.2">
      <c r="A66" s="25" t="s">
        <v>780</v>
      </c>
      <c r="B66" s="26"/>
      <c r="C66" s="26"/>
      <c r="D66" s="26"/>
      <c r="E66" s="26"/>
      <c r="F66" s="26"/>
      <c r="G66" s="26"/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</row>
    <row r="67" spans="1:22" ht="15" customHeight="1" x14ac:dyDescent="0.2">
      <c r="A67" s="5" t="s">
        <v>781</v>
      </c>
      <c r="B67" s="90">
        <f>MAX(0,'Debt Schedule'!B14+'Debt Schedule'!C13)</f>
        <v>146.25</v>
      </c>
      <c r="C67" s="90">
        <f>MAX(0,'Debt Schedule'!C14+'Debt Schedule'!D13)</f>
        <v>365.625</v>
      </c>
      <c r="D67" s="90">
        <f>MAX(0,'Debt Schedule'!D14+'Debt Schedule'!E13)</f>
        <v>433.33333333333331</v>
      </c>
      <c r="E67" s="90">
        <f>MAX(0,'Debt Schedule'!E14+'Debt Schedule'!F13)</f>
        <v>379.16666666666663</v>
      </c>
      <c r="F67" s="90">
        <f>MAX(0,'Debt Schedule'!F14+'Debt Schedule'!G13)</f>
        <v>324.99999999999994</v>
      </c>
      <c r="G67" s="90">
        <f>MAX(0,'Debt Schedule'!G14+'Debt Schedule'!H13)</f>
        <v>270.83333333333326</v>
      </c>
      <c r="H67" s="90">
        <f>MAX(0,'Debt Schedule'!H14+'Debt Schedule'!I13)</f>
        <v>216.6666666666666</v>
      </c>
      <c r="I67" s="90">
        <f>MAX(0,'Debt Schedule'!I14+'Debt Schedule'!J13)</f>
        <v>162.49999999999994</v>
      </c>
      <c r="J67" s="90">
        <f>MAX(0,'Debt Schedule'!J14+'Debt Schedule'!K13)</f>
        <v>108.33333333333329</v>
      </c>
      <c r="K67" s="90">
        <f>MAX(0,'Debt Schedule'!K14+'Debt Schedule'!L13)</f>
        <v>54.166666666666622</v>
      </c>
      <c r="L67" s="90">
        <f>MAX(0,'Debt Schedule'!L14+'Debt Schedule'!M13)</f>
        <v>0</v>
      </c>
      <c r="M67" s="90">
        <f>MAX(0,'Debt Schedule'!M14+'Debt Schedule'!N13)</f>
        <v>0</v>
      </c>
      <c r="N67" s="90">
        <f>MAX(0,'Debt Schedule'!N14+'Debt Schedule'!O13)</f>
        <v>0</v>
      </c>
      <c r="O67" s="90">
        <f>MAX(0,'Debt Schedule'!O14+'Debt Schedule'!P13)</f>
        <v>0</v>
      </c>
      <c r="P67" s="90">
        <f>MAX(0,'Debt Schedule'!P14+'Debt Schedule'!Q13)</f>
        <v>0</v>
      </c>
      <c r="Q67" s="90">
        <f>MAX(0,'Debt Schedule'!Q14+'Debt Schedule'!R13)</f>
        <v>0</v>
      </c>
      <c r="R67" s="90">
        <f>MAX(0,'Debt Schedule'!R14+'Debt Schedule'!S13)</f>
        <v>0</v>
      </c>
      <c r="S67" s="90">
        <f>MAX(0,'Debt Schedule'!S14+'Debt Schedule'!T13)</f>
        <v>0</v>
      </c>
      <c r="T67" s="90">
        <f>MAX(0,'Debt Schedule'!T14+'Debt Schedule'!U13)</f>
        <v>0</v>
      </c>
      <c r="U67" s="90">
        <f>MAX(0,'Debt Schedule'!U14+'Debt Schedule'!V13)</f>
        <v>0</v>
      </c>
      <c r="V67" s="90">
        <v>0</v>
      </c>
    </row>
    <row r="68" spans="1:22" ht="15" customHeight="1" x14ac:dyDescent="0.2">
      <c r="A68" s="35" t="s">
        <v>782</v>
      </c>
      <c r="B68" s="84">
        <f t="shared" ref="B68:V68" si="16">B67</f>
        <v>146.25</v>
      </c>
      <c r="C68" s="84">
        <f t="shared" si="16"/>
        <v>365.625</v>
      </c>
      <c r="D68" s="84">
        <f t="shared" si="16"/>
        <v>433.33333333333331</v>
      </c>
      <c r="E68" s="84">
        <f t="shared" si="16"/>
        <v>379.16666666666663</v>
      </c>
      <c r="F68" s="84">
        <f t="shared" si="16"/>
        <v>324.99999999999994</v>
      </c>
      <c r="G68" s="84">
        <f t="shared" si="16"/>
        <v>270.83333333333326</v>
      </c>
      <c r="H68" s="84">
        <f t="shared" si="16"/>
        <v>216.6666666666666</v>
      </c>
      <c r="I68" s="84">
        <f t="shared" si="16"/>
        <v>162.49999999999994</v>
      </c>
      <c r="J68" s="84">
        <f t="shared" si="16"/>
        <v>108.33333333333329</v>
      </c>
      <c r="K68" s="84">
        <f t="shared" si="16"/>
        <v>54.166666666666622</v>
      </c>
      <c r="L68" s="84">
        <f t="shared" si="16"/>
        <v>0</v>
      </c>
      <c r="M68" s="84">
        <f t="shared" si="16"/>
        <v>0</v>
      </c>
      <c r="N68" s="84">
        <f t="shared" si="16"/>
        <v>0</v>
      </c>
      <c r="O68" s="84">
        <f t="shared" si="16"/>
        <v>0</v>
      </c>
      <c r="P68" s="84">
        <f t="shared" si="16"/>
        <v>0</v>
      </c>
      <c r="Q68" s="84">
        <f t="shared" si="16"/>
        <v>0</v>
      </c>
      <c r="R68" s="84">
        <f t="shared" si="16"/>
        <v>0</v>
      </c>
      <c r="S68" s="84">
        <f t="shared" si="16"/>
        <v>0</v>
      </c>
      <c r="T68" s="84">
        <f t="shared" si="16"/>
        <v>0</v>
      </c>
      <c r="U68" s="84">
        <f t="shared" si="16"/>
        <v>0</v>
      </c>
      <c r="V68" s="84">
        <f t="shared" si="16"/>
        <v>0</v>
      </c>
    </row>
    <row r="70" spans="1:22" ht="15" customHeight="1" x14ac:dyDescent="0.2">
      <c r="A70" s="25" t="s">
        <v>783</v>
      </c>
      <c r="B70" s="26"/>
      <c r="C70" s="26"/>
      <c r="D70" s="26"/>
      <c r="E70" s="26"/>
      <c r="F70" s="26"/>
      <c r="G70" s="26"/>
      <c r="H70" s="26"/>
      <c r="I70" s="26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</row>
    <row r="71" spans="1:22" ht="15" customHeight="1" x14ac:dyDescent="0.2">
      <c r="A71" s="5" t="s">
        <v>784</v>
      </c>
      <c r="B71" s="78">
        <f>'Working Capital'!B33</f>
        <v>0</v>
      </c>
      <c r="C71" s="78">
        <f>'Working Capital'!C33</f>
        <v>0</v>
      </c>
      <c r="D71" s="78">
        <f>'Working Capital'!D33</f>
        <v>0</v>
      </c>
      <c r="E71" s="78">
        <f>'Working Capital'!E33</f>
        <v>45.884391780821908</v>
      </c>
      <c r="F71" s="78">
        <f>'Working Capital'!F33</f>
        <v>70.547252363013683</v>
      </c>
      <c r="G71" s="78">
        <f>'Working Capital'!G33</f>
        <v>72.310933672089021</v>
      </c>
      <c r="H71" s="78">
        <f>'Working Capital'!H33</f>
        <v>82.354118904323599</v>
      </c>
      <c r="I71" s="78">
        <f>'Working Capital'!I33</f>
        <v>84.412971876931692</v>
      </c>
      <c r="J71" s="78">
        <f>'Working Capital'!J33</f>
        <v>86.523296173854973</v>
      </c>
      <c r="K71" s="78">
        <f>'Working Capital'!K33</f>
        <v>88.686378578201342</v>
      </c>
      <c r="L71" s="78">
        <f>'Working Capital'!L33</f>
        <v>90.903538042656379</v>
      </c>
      <c r="M71" s="78">
        <f>'Working Capital'!M33</f>
        <v>93.176126493722762</v>
      </c>
      <c r="N71" s="78">
        <f>'Working Capital'!N33</f>
        <v>95.505529656065832</v>
      </c>
      <c r="O71" s="78">
        <f>'Working Capital'!O33</f>
        <v>97.893167897467464</v>
      </c>
      <c r="P71" s="78">
        <f>'Working Capital'!P33</f>
        <v>100.34049709490417</v>
      </c>
      <c r="Q71" s="78">
        <f>'Working Capital'!Q33</f>
        <v>102.84900952227676</v>
      </c>
      <c r="R71" s="78">
        <f>'Working Capital'!R33</f>
        <v>105.42023476033368</v>
      </c>
      <c r="S71" s="78">
        <f>'Working Capital'!S33</f>
        <v>108.05574062934201</v>
      </c>
      <c r="T71" s="78">
        <f>'Working Capital'!T33</f>
        <v>110.75713414507557</v>
      </c>
      <c r="U71" s="78">
        <f>'Working Capital'!U33</f>
        <v>113.52606249870246</v>
      </c>
      <c r="V71" s="78">
        <f>'Working Capital'!V33</f>
        <v>0</v>
      </c>
    </row>
    <row r="72" spans="1:22" ht="15" customHeight="1" x14ac:dyDescent="0.2">
      <c r="A72" s="5" t="s">
        <v>785</v>
      </c>
      <c r="B72" s="90">
        <f>'Debt Schedule'!B14-B67</f>
        <v>0</v>
      </c>
      <c r="C72" s="90">
        <f>'Debt Schedule'!C14-C67</f>
        <v>0</v>
      </c>
      <c r="D72" s="90">
        <f>'Debt Schedule'!D14-D67</f>
        <v>54.166666666666686</v>
      </c>
      <c r="E72" s="90">
        <f>'Debt Schedule'!E14-E67</f>
        <v>54.166666666666686</v>
      </c>
      <c r="F72" s="90">
        <f>'Debt Schedule'!F14-F67</f>
        <v>54.166666666666686</v>
      </c>
      <c r="G72" s="90">
        <f>'Debt Schedule'!G14-G67</f>
        <v>54.166666666666686</v>
      </c>
      <c r="H72" s="90">
        <f>'Debt Schedule'!H14-H67</f>
        <v>54.166666666666657</v>
      </c>
      <c r="I72" s="90">
        <f>'Debt Schedule'!I14-I67</f>
        <v>54.166666666666657</v>
      </c>
      <c r="J72" s="90">
        <f>'Debt Schedule'!J14-J67</f>
        <v>54.166666666666657</v>
      </c>
      <c r="K72" s="90">
        <f>'Debt Schedule'!K14-K67</f>
        <v>54.166666666666664</v>
      </c>
      <c r="L72" s="90">
        <f>'Debt Schedule'!L14-L67</f>
        <v>54.166666666666622</v>
      </c>
      <c r="M72" s="90">
        <f>'Debt Schedule'!M14-M67</f>
        <v>0</v>
      </c>
      <c r="N72" s="90">
        <f>'Debt Schedule'!N14-N67</f>
        <v>0</v>
      </c>
      <c r="O72" s="90">
        <f>'Debt Schedule'!O14-O67</f>
        <v>0</v>
      </c>
      <c r="P72" s="90">
        <f>'Debt Schedule'!P14-P67</f>
        <v>0</v>
      </c>
      <c r="Q72" s="90">
        <f>'Debt Schedule'!Q14-Q67</f>
        <v>0</v>
      </c>
      <c r="R72" s="90">
        <f>'Debt Schedule'!R14-R67</f>
        <v>0</v>
      </c>
      <c r="S72" s="90">
        <f>'Debt Schedule'!S14-S67</f>
        <v>0</v>
      </c>
      <c r="T72" s="90">
        <f>'Debt Schedule'!T14-T67</f>
        <v>0</v>
      </c>
      <c r="U72" s="90">
        <f>'Debt Schedule'!U14-U67</f>
        <v>0</v>
      </c>
      <c r="V72" s="90">
        <f>'Debt Schedule'!V14-V67</f>
        <v>0</v>
      </c>
    </row>
    <row r="73" spans="1:22" ht="15" customHeight="1" x14ac:dyDescent="0.2">
      <c r="A73" s="35" t="s">
        <v>786</v>
      </c>
      <c r="B73" s="84">
        <f t="shared" ref="B73:V73" si="17">B71+B72</f>
        <v>0</v>
      </c>
      <c r="C73" s="84">
        <f t="shared" si="17"/>
        <v>0</v>
      </c>
      <c r="D73" s="84">
        <f t="shared" si="17"/>
        <v>54.166666666666686</v>
      </c>
      <c r="E73" s="84">
        <f t="shared" si="17"/>
        <v>100.0510584474886</v>
      </c>
      <c r="F73" s="84">
        <f t="shared" si="17"/>
        <v>124.71391902968037</v>
      </c>
      <c r="G73" s="84">
        <f t="shared" si="17"/>
        <v>126.47760033875571</v>
      </c>
      <c r="H73" s="84">
        <f t="shared" si="17"/>
        <v>136.52078557099026</v>
      </c>
      <c r="I73" s="84">
        <f t="shared" si="17"/>
        <v>138.57963854359835</v>
      </c>
      <c r="J73" s="84">
        <f t="shared" si="17"/>
        <v>140.68996284052162</v>
      </c>
      <c r="K73" s="84">
        <f t="shared" si="17"/>
        <v>142.85304524486801</v>
      </c>
      <c r="L73" s="84">
        <f t="shared" si="17"/>
        <v>145.07020470932301</v>
      </c>
      <c r="M73" s="84">
        <f t="shared" si="17"/>
        <v>93.176126493722762</v>
      </c>
      <c r="N73" s="84">
        <f t="shared" si="17"/>
        <v>95.505529656065832</v>
      </c>
      <c r="O73" s="84">
        <f t="shared" si="17"/>
        <v>97.893167897467464</v>
      </c>
      <c r="P73" s="84">
        <f t="shared" si="17"/>
        <v>100.34049709490417</v>
      </c>
      <c r="Q73" s="84">
        <f t="shared" si="17"/>
        <v>102.84900952227676</v>
      </c>
      <c r="R73" s="84">
        <f t="shared" si="17"/>
        <v>105.42023476033368</v>
      </c>
      <c r="S73" s="84">
        <f t="shared" si="17"/>
        <v>108.05574062934201</v>
      </c>
      <c r="T73" s="84">
        <f t="shared" si="17"/>
        <v>110.75713414507557</v>
      </c>
      <c r="U73" s="84">
        <f t="shared" si="17"/>
        <v>113.52606249870246</v>
      </c>
      <c r="V73" s="84">
        <f t="shared" si="17"/>
        <v>0</v>
      </c>
    </row>
    <row r="75" spans="1:22" ht="15" customHeight="1" x14ac:dyDescent="0.2">
      <c r="A75" s="35" t="s">
        <v>787</v>
      </c>
      <c r="B75" s="84">
        <f t="shared" ref="B75:V75" si="18">B68+B73</f>
        <v>146.25</v>
      </c>
      <c r="C75" s="84">
        <f t="shared" si="18"/>
        <v>365.625</v>
      </c>
      <c r="D75" s="84">
        <f t="shared" si="18"/>
        <v>487.5</v>
      </c>
      <c r="E75" s="84">
        <f t="shared" si="18"/>
        <v>479.2177251141552</v>
      </c>
      <c r="F75" s="84">
        <f t="shared" si="18"/>
        <v>449.71391902968031</v>
      </c>
      <c r="G75" s="84">
        <f t="shared" si="18"/>
        <v>397.31093367208894</v>
      </c>
      <c r="H75" s="84">
        <f t="shared" si="18"/>
        <v>353.18745223765688</v>
      </c>
      <c r="I75" s="84">
        <f t="shared" si="18"/>
        <v>301.07963854359832</v>
      </c>
      <c r="J75" s="84">
        <f t="shared" si="18"/>
        <v>249.0232961738549</v>
      </c>
      <c r="K75" s="84">
        <f t="shared" si="18"/>
        <v>197.01971191153464</v>
      </c>
      <c r="L75" s="84">
        <f t="shared" si="18"/>
        <v>145.07020470932301</v>
      </c>
      <c r="M75" s="84">
        <f t="shared" si="18"/>
        <v>93.176126493722762</v>
      </c>
      <c r="N75" s="84">
        <f t="shared" si="18"/>
        <v>95.505529656065832</v>
      </c>
      <c r="O75" s="84">
        <f t="shared" si="18"/>
        <v>97.893167897467464</v>
      </c>
      <c r="P75" s="84">
        <f t="shared" si="18"/>
        <v>100.34049709490417</v>
      </c>
      <c r="Q75" s="84">
        <f t="shared" si="18"/>
        <v>102.84900952227676</v>
      </c>
      <c r="R75" s="84">
        <f t="shared" si="18"/>
        <v>105.42023476033368</v>
      </c>
      <c r="S75" s="84">
        <f t="shared" si="18"/>
        <v>108.05574062934201</v>
      </c>
      <c r="T75" s="84">
        <f t="shared" si="18"/>
        <v>110.75713414507557</v>
      </c>
      <c r="U75" s="84">
        <f t="shared" si="18"/>
        <v>113.52606249870246</v>
      </c>
      <c r="V75" s="84">
        <f t="shared" si="18"/>
        <v>0</v>
      </c>
    </row>
    <row r="77" spans="1:22" ht="15" customHeight="1" x14ac:dyDescent="0.2">
      <c r="A77" s="35" t="s">
        <v>788</v>
      </c>
      <c r="B77" s="87">
        <f t="shared" ref="B77:V77" si="19">B64+B75</f>
        <v>225</v>
      </c>
      <c r="C77" s="87">
        <f t="shared" si="19"/>
        <v>562.5</v>
      </c>
      <c r="D77" s="87">
        <f t="shared" si="19"/>
        <v>750</v>
      </c>
      <c r="E77" s="87">
        <f t="shared" si="19"/>
        <v>788.0514364989715</v>
      </c>
      <c r="F77" s="87">
        <f t="shared" si="19"/>
        <v>859.89606230349727</v>
      </c>
      <c r="G77" s="87">
        <f t="shared" si="19"/>
        <v>942.73011110775997</v>
      </c>
      <c r="H77" s="87">
        <f t="shared" si="19"/>
        <v>1057.1371184030359</v>
      </c>
      <c r="I77" s="87">
        <f t="shared" si="19"/>
        <v>1166.0002942440356</v>
      </c>
      <c r="J77" s="87">
        <f t="shared" si="19"/>
        <v>1316.5597297666188</v>
      </c>
      <c r="K77" s="87">
        <f t="shared" si="19"/>
        <v>1473.8557404402218</v>
      </c>
      <c r="L77" s="87">
        <f t="shared" si="19"/>
        <v>1637.9273667426044</v>
      </c>
      <c r="M77" s="87">
        <f t="shared" si="19"/>
        <v>1808.8135976854508</v>
      </c>
      <c r="N77" s="87">
        <f t="shared" si="19"/>
        <v>2039.1600156448228</v>
      </c>
      <c r="O77" s="87">
        <f t="shared" si="19"/>
        <v>2273.2787735680508</v>
      </c>
      <c r="P77" s="87">
        <f t="shared" si="19"/>
        <v>2511.2085711915888</v>
      </c>
      <c r="Q77" s="87">
        <f t="shared" si="19"/>
        <v>2752.9879635700468</v>
      </c>
      <c r="R77" s="87">
        <f t="shared" si="19"/>
        <v>2998.6553352156434</v>
      </c>
      <c r="S77" s="87">
        <f t="shared" si="19"/>
        <v>3248.2488731462695</v>
      </c>
      <c r="T77" s="87">
        <f t="shared" si="19"/>
        <v>3501.8065388059881</v>
      </c>
      <c r="U77" s="87">
        <f t="shared" si="19"/>
        <v>3730.5660388207007</v>
      </c>
      <c r="V77" s="87">
        <f t="shared" si="19"/>
        <v>3617.0399763219984</v>
      </c>
    </row>
    <row r="79" spans="1:22" ht="15" customHeight="1" x14ac:dyDescent="0.2">
      <c r="A79" s="79" t="s">
        <v>789</v>
      </c>
      <c r="B79" s="101">
        <f t="shared" ref="B79:V79" si="20">B59-B77</f>
        <v>0</v>
      </c>
      <c r="C79" s="101">
        <f t="shared" si="20"/>
        <v>0</v>
      </c>
      <c r="D79" s="101">
        <f t="shared" si="20"/>
        <v>0</v>
      </c>
      <c r="E79" s="101">
        <f t="shared" si="20"/>
        <v>0</v>
      </c>
      <c r="F79" s="101">
        <f t="shared" si="20"/>
        <v>0</v>
      </c>
      <c r="G79" s="101">
        <f t="shared" si="20"/>
        <v>0</v>
      </c>
      <c r="H79" s="101">
        <f t="shared" si="20"/>
        <v>0</v>
      </c>
      <c r="I79" s="101">
        <f t="shared" si="20"/>
        <v>0</v>
      </c>
      <c r="J79" s="101">
        <f t="shared" si="20"/>
        <v>0</v>
      </c>
      <c r="K79" s="101">
        <f t="shared" si="20"/>
        <v>0</v>
      </c>
      <c r="L79" s="101">
        <f t="shared" si="20"/>
        <v>0</v>
      </c>
      <c r="M79" s="101">
        <f t="shared" si="20"/>
        <v>0</v>
      </c>
      <c r="N79" s="101">
        <f t="shared" si="20"/>
        <v>0</v>
      </c>
      <c r="O79" s="101">
        <f t="shared" si="20"/>
        <v>0</v>
      </c>
      <c r="P79" s="101">
        <f t="shared" si="20"/>
        <v>0</v>
      </c>
      <c r="Q79" s="101">
        <f t="shared" si="20"/>
        <v>0</v>
      </c>
      <c r="R79" s="101">
        <f t="shared" si="20"/>
        <v>0</v>
      </c>
      <c r="S79" s="101">
        <f t="shared" si="20"/>
        <v>0</v>
      </c>
      <c r="T79" s="101">
        <f t="shared" si="20"/>
        <v>0</v>
      </c>
      <c r="U79" s="101">
        <f t="shared" si="20"/>
        <v>0</v>
      </c>
      <c r="V79" s="101">
        <f t="shared" si="20"/>
        <v>0</v>
      </c>
    </row>
    <row r="82" spans="1:22" ht="15" customHeight="1" x14ac:dyDescent="0.2">
      <c r="A82" s="47" t="s">
        <v>790</v>
      </c>
    </row>
    <row r="83" spans="1:22" ht="15" customHeight="1" x14ac:dyDescent="0.2">
      <c r="A83" s="12" t="s">
        <v>791</v>
      </c>
    </row>
    <row r="84" spans="1:22" ht="15" customHeight="1" x14ac:dyDescent="0.2">
      <c r="A84" s="39" t="s">
        <v>535</v>
      </c>
      <c r="B84" s="69">
        <f>Assumptions!B4+0</f>
        <v>2025</v>
      </c>
      <c r="C84" s="69">
        <f>Assumptions!B4+1</f>
        <v>2026</v>
      </c>
      <c r="D84" s="69">
        <f>Assumptions!B4+2</f>
        <v>2027</v>
      </c>
      <c r="E84" s="69">
        <f>Assumptions!B4+3</f>
        <v>2028</v>
      </c>
      <c r="F84" s="69">
        <f>Assumptions!B4+4</f>
        <v>2029</v>
      </c>
      <c r="G84" s="69">
        <f>Assumptions!B4+5</f>
        <v>2030</v>
      </c>
      <c r="H84" s="69">
        <f>Assumptions!B4+6</f>
        <v>2031</v>
      </c>
      <c r="I84" s="69">
        <f>Assumptions!B4+7</f>
        <v>2032</v>
      </c>
      <c r="J84" s="69">
        <f>Assumptions!B4+8</f>
        <v>2033</v>
      </c>
      <c r="K84" s="69">
        <f>Assumptions!B4+9</f>
        <v>2034</v>
      </c>
      <c r="L84" s="69">
        <f>Assumptions!B4+10</f>
        <v>2035</v>
      </c>
      <c r="M84" s="69">
        <f>Assumptions!B4+11</f>
        <v>2036</v>
      </c>
      <c r="N84" s="69">
        <f>Assumptions!B4+12</f>
        <v>2037</v>
      </c>
      <c r="O84" s="69">
        <f>Assumptions!B4+13</f>
        <v>2038</v>
      </c>
      <c r="P84" s="69">
        <f>Assumptions!B4+14</f>
        <v>2039</v>
      </c>
      <c r="Q84" s="69">
        <f>Assumptions!B4+15</f>
        <v>2040</v>
      </c>
      <c r="R84" s="69">
        <f>Assumptions!B4+16</f>
        <v>2041</v>
      </c>
      <c r="S84" s="69">
        <f>Assumptions!B4+17</f>
        <v>2042</v>
      </c>
      <c r="T84" s="69">
        <f>Assumptions!B4+18</f>
        <v>2043</v>
      </c>
      <c r="U84" s="69">
        <f>Assumptions!B4+19</f>
        <v>2044</v>
      </c>
      <c r="V84" s="69">
        <f>Assumptions!B4+20</f>
        <v>2045</v>
      </c>
    </row>
    <row r="86" spans="1:22" ht="15" customHeight="1" x14ac:dyDescent="0.2">
      <c r="A86" s="19" t="s">
        <v>792</v>
      </c>
      <c r="B86" s="20"/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</row>
    <row r="87" spans="1:22" ht="15" customHeight="1" x14ac:dyDescent="0.2">
      <c r="A87" s="5" t="s">
        <v>757</v>
      </c>
      <c r="B87" s="78">
        <f t="shared" ref="B87:V87" si="21">B31</f>
        <v>0</v>
      </c>
      <c r="C87" s="78">
        <f t="shared" si="21"/>
        <v>0</v>
      </c>
      <c r="D87" s="78">
        <f t="shared" si="21"/>
        <v>0</v>
      </c>
      <c r="E87" s="78">
        <f t="shared" si="21"/>
        <v>64.352376923355934</v>
      </c>
      <c r="F87" s="78">
        <f t="shared" si="21"/>
        <v>140.76171095694528</v>
      </c>
      <c r="G87" s="78">
        <f t="shared" si="21"/>
        <v>187.82921411368639</v>
      </c>
      <c r="H87" s="78">
        <f t="shared" si="21"/>
        <v>220.18123434681641</v>
      </c>
      <c r="I87" s="78">
        <f t="shared" si="21"/>
        <v>223.5708187986923</v>
      </c>
      <c r="J87" s="78">
        <f t="shared" si="21"/>
        <v>281.41080262823124</v>
      </c>
      <c r="K87" s="78">
        <f t="shared" si="21"/>
        <v>290.69388185544909</v>
      </c>
      <c r="L87" s="78">
        <f t="shared" si="21"/>
        <v>300.02935208971451</v>
      </c>
      <c r="M87" s="78">
        <f t="shared" si="21"/>
        <v>309.41709605339821</v>
      </c>
      <c r="N87" s="78">
        <f t="shared" si="21"/>
        <v>316.69029832920671</v>
      </c>
      <c r="O87" s="78">
        <f t="shared" si="21"/>
        <v>321.84877733587047</v>
      </c>
      <c r="P87" s="78">
        <f t="shared" si="21"/>
        <v>327.05898392514018</v>
      </c>
      <c r="Q87" s="78">
        <f t="shared" si="21"/>
        <v>332.32066659872953</v>
      </c>
      <c r="R87" s="78">
        <f t="shared" si="21"/>
        <v>337.63353667713852</v>
      </c>
      <c r="S87" s="78">
        <f t="shared" si="21"/>
        <v>342.99726675224724</v>
      </c>
      <c r="T87" s="78">
        <f t="shared" si="21"/>
        <v>348.41148908886771</v>
      </c>
      <c r="U87" s="78">
        <f t="shared" si="21"/>
        <v>313.87579397373042</v>
      </c>
      <c r="V87" s="78">
        <f t="shared" si="21"/>
        <v>0</v>
      </c>
    </row>
    <row r="88" spans="1:22" ht="15" customHeight="1" x14ac:dyDescent="0.2">
      <c r="A88" s="12" t="s">
        <v>793</v>
      </c>
    </row>
    <row r="89" spans="1:22" ht="15" customHeight="1" x14ac:dyDescent="0.2">
      <c r="A89" s="5" t="s">
        <v>794</v>
      </c>
      <c r="B89" s="78">
        <f t="shared" ref="B89:V89" si="22">-B15</f>
        <v>0</v>
      </c>
      <c r="C89" s="78">
        <f t="shared" si="22"/>
        <v>0</v>
      </c>
      <c r="D89" s="78">
        <f t="shared" si="22"/>
        <v>0</v>
      </c>
      <c r="E89" s="78">
        <f t="shared" si="22"/>
        <v>53.809662683823525</v>
      </c>
      <c r="F89" s="78">
        <f t="shared" si="22"/>
        <v>59.019121082261023</v>
      </c>
      <c r="G89" s="78">
        <f t="shared" si="22"/>
        <v>62.446460107651646</v>
      </c>
      <c r="H89" s="78">
        <f t="shared" si="22"/>
        <v>64.992128586655554</v>
      </c>
      <c r="I89" s="78">
        <f t="shared" si="22"/>
        <v>65.513990624851346</v>
      </c>
      <c r="J89" s="78">
        <f t="shared" si="22"/>
        <v>66.048899214002049</v>
      </c>
      <c r="K89" s="78">
        <f t="shared" si="22"/>
        <v>66.597180517881512</v>
      </c>
      <c r="L89" s="78">
        <f t="shared" si="22"/>
        <v>67.159168854357958</v>
      </c>
      <c r="M89" s="78">
        <f t="shared" si="22"/>
        <v>67.735206899246322</v>
      </c>
      <c r="N89" s="78">
        <f t="shared" si="22"/>
        <v>68.325645895256883</v>
      </c>
      <c r="O89" s="78">
        <f t="shared" si="22"/>
        <v>68.930845866167715</v>
      </c>
      <c r="P89" s="78">
        <f t="shared" si="22"/>
        <v>69.55117583635132</v>
      </c>
      <c r="Q89" s="78">
        <f t="shared" si="22"/>
        <v>70.187014055789518</v>
      </c>
      <c r="R89" s="78">
        <f t="shared" si="22"/>
        <v>70.838748230713662</v>
      </c>
      <c r="S89" s="78">
        <f t="shared" si="22"/>
        <v>71.506775760010925</v>
      </c>
      <c r="T89" s="78">
        <f t="shared" si="22"/>
        <v>72.191503977540606</v>
      </c>
      <c r="U89" s="78">
        <f t="shared" si="22"/>
        <v>72.893350400508524</v>
      </c>
      <c r="V89" s="78">
        <f t="shared" si="22"/>
        <v>0</v>
      </c>
    </row>
    <row r="90" spans="1:22" ht="15" customHeight="1" x14ac:dyDescent="0.2">
      <c r="A90" s="5" t="s">
        <v>795</v>
      </c>
      <c r="B90" s="78">
        <f t="shared" ref="B90:V90" si="23">-B17</f>
        <v>0</v>
      </c>
      <c r="C90" s="78">
        <f t="shared" si="23"/>
        <v>0</v>
      </c>
      <c r="D90" s="78">
        <f t="shared" si="23"/>
        <v>0</v>
      </c>
      <c r="E90" s="78">
        <f t="shared" si="23"/>
        <v>0</v>
      </c>
      <c r="F90" s="78">
        <f t="shared" si="23"/>
        <v>0</v>
      </c>
      <c r="G90" s="78">
        <f t="shared" si="23"/>
        <v>0</v>
      </c>
      <c r="H90" s="78">
        <f t="shared" si="23"/>
        <v>0</v>
      </c>
      <c r="I90" s="78">
        <f t="shared" si="23"/>
        <v>0</v>
      </c>
      <c r="J90" s="78">
        <f t="shared" si="23"/>
        <v>0</v>
      </c>
      <c r="K90" s="78">
        <f t="shared" si="23"/>
        <v>0</v>
      </c>
      <c r="L90" s="78">
        <f t="shared" si="23"/>
        <v>0</v>
      </c>
      <c r="M90" s="78">
        <f t="shared" si="23"/>
        <v>0</v>
      </c>
      <c r="N90" s="78">
        <f t="shared" si="23"/>
        <v>0</v>
      </c>
      <c r="O90" s="78">
        <f t="shared" si="23"/>
        <v>0</v>
      </c>
      <c r="P90" s="78">
        <f t="shared" si="23"/>
        <v>0</v>
      </c>
      <c r="Q90" s="78">
        <f t="shared" si="23"/>
        <v>0</v>
      </c>
      <c r="R90" s="78">
        <f t="shared" si="23"/>
        <v>0</v>
      </c>
      <c r="S90" s="78">
        <f t="shared" si="23"/>
        <v>0</v>
      </c>
      <c r="T90" s="78">
        <f t="shared" si="23"/>
        <v>0</v>
      </c>
      <c r="U90" s="78">
        <f t="shared" si="23"/>
        <v>40</v>
      </c>
      <c r="V90" s="78">
        <f t="shared" si="23"/>
        <v>0</v>
      </c>
    </row>
    <row r="91" spans="1:22" ht="15" customHeight="1" x14ac:dyDescent="0.2">
      <c r="A91" s="5" t="s">
        <v>796</v>
      </c>
      <c r="B91" s="78">
        <f t="shared" ref="B91:V91" si="24">-B29</f>
        <v>0</v>
      </c>
      <c r="C91" s="78">
        <f t="shared" si="24"/>
        <v>0</v>
      </c>
      <c r="D91" s="78">
        <f t="shared" si="24"/>
        <v>0</v>
      </c>
      <c r="E91" s="78">
        <f t="shared" si="24"/>
        <v>36.833333333333329</v>
      </c>
      <c r="F91" s="78">
        <f t="shared" si="24"/>
        <v>32.5</v>
      </c>
      <c r="G91" s="78">
        <f t="shared" si="24"/>
        <v>28.166666666666661</v>
      </c>
      <c r="H91" s="78">
        <f t="shared" si="24"/>
        <v>23.833333333333332</v>
      </c>
      <c r="I91" s="78">
        <f t="shared" si="24"/>
        <v>19.499999999999996</v>
      </c>
      <c r="J91" s="78">
        <f t="shared" si="24"/>
        <v>15.166666666666661</v>
      </c>
      <c r="K91" s="78">
        <f t="shared" si="24"/>
        <v>10.83333333333333</v>
      </c>
      <c r="L91" s="78">
        <f t="shared" si="24"/>
        <v>6.4999999999999964</v>
      </c>
      <c r="M91" s="78">
        <f t="shared" si="24"/>
        <v>2.1666666666666647</v>
      </c>
      <c r="N91" s="78">
        <f t="shared" si="24"/>
        <v>0</v>
      </c>
      <c r="O91" s="78">
        <f t="shared" si="24"/>
        <v>0</v>
      </c>
      <c r="P91" s="78">
        <f t="shared" si="24"/>
        <v>0</v>
      </c>
      <c r="Q91" s="78">
        <f t="shared" si="24"/>
        <v>0</v>
      </c>
      <c r="R91" s="78">
        <f t="shared" si="24"/>
        <v>0</v>
      </c>
      <c r="S91" s="78">
        <f t="shared" si="24"/>
        <v>0</v>
      </c>
      <c r="T91" s="78">
        <f t="shared" si="24"/>
        <v>0</v>
      </c>
      <c r="U91" s="78">
        <f t="shared" si="24"/>
        <v>0</v>
      </c>
      <c r="V91" s="78">
        <f t="shared" si="24"/>
        <v>0</v>
      </c>
    </row>
    <row r="92" spans="1:22" ht="15" customHeight="1" x14ac:dyDescent="0.2">
      <c r="A92" s="12" t="s">
        <v>797</v>
      </c>
    </row>
    <row r="93" spans="1:22" ht="15" customHeight="1" x14ac:dyDescent="0.2">
      <c r="A93" s="5" t="s">
        <v>798</v>
      </c>
      <c r="B93" s="78">
        <f>'Working Capital'!B43</f>
        <v>0</v>
      </c>
      <c r="C93" s="78">
        <f>'Working Capital'!C43</f>
        <v>0</v>
      </c>
      <c r="D93" s="78">
        <f>'Working Capital'!D43</f>
        <v>0</v>
      </c>
      <c r="E93" s="78">
        <f>'Working Capital'!E43</f>
        <v>-40.786126027397259</v>
      </c>
      <c r="F93" s="78">
        <f>'Working Capital'!F43</f>
        <v>-21.922542739726012</v>
      </c>
      <c r="G93" s="78">
        <f>'Working Capital'!G43</f>
        <v>-1.5677167191780796</v>
      </c>
      <c r="H93" s="78">
        <f>'Working Capital'!H43</f>
        <v>-8.9272757619862944</v>
      </c>
      <c r="I93" s="78">
        <f>'Working Capital'!I43</f>
        <v>-1.8300915312072021</v>
      </c>
      <c r="J93" s="78">
        <f>'Working Capital'!J43</f>
        <v>-1.8758438194873577</v>
      </c>
      <c r="K93" s="78">
        <f>'Working Capital'!K43</f>
        <v>-1.9227399149745423</v>
      </c>
      <c r="L93" s="78">
        <f>'Working Capital'!L43</f>
        <v>-1.9708084128489105</v>
      </c>
      <c r="M93" s="78">
        <f>'Working Capital'!M43</f>
        <v>-2.0200786231701358</v>
      </c>
      <c r="N93" s="78">
        <f>'Working Capital'!N43</f>
        <v>-2.0705805887493938</v>
      </c>
      <c r="O93" s="78">
        <f>'Working Capital'!O43</f>
        <v>-2.1223451034681204</v>
      </c>
      <c r="P93" s="78">
        <f>'Working Capital'!P43</f>
        <v>-2.1754037310548284</v>
      </c>
      <c r="Q93" s="78">
        <f>'Working Capital'!Q43</f>
        <v>-2.2297888243312087</v>
      </c>
      <c r="R93" s="78">
        <f>'Working Capital'!R43</f>
        <v>-2.2855335449394829</v>
      </c>
      <c r="S93" s="78">
        <f>'Working Capital'!S43</f>
        <v>-2.3426718835629572</v>
      </c>
      <c r="T93" s="78">
        <f>'Working Capital'!T43</f>
        <v>-2.4012386806520425</v>
      </c>
      <c r="U93" s="78">
        <f>'Working Capital'!U43</f>
        <v>-2.4612696476683595</v>
      </c>
      <c r="V93" s="78">
        <f>'Working Capital'!V43</f>
        <v>100.91205555440219</v>
      </c>
    </row>
    <row r="94" spans="1:22" ht="15" customHeight="1" x14ac:dyDescent="0.2">
      <c r="A94" s="5" t="s">
        <v>799</v>
      </c>
      <c r="B94" s="78">
        <f>'Working Capital'!B42</f>
        <v>0</v>
      </c>
      <c r="C94" s="78">
        <f>'Working Capital'!C42</f>
        <v>0</v>
      </c>
      <c r="D94" s="78">
        <f>'Working Capital'!D42</f>
        <v>0</v>
      </c>
      <c r="E94" s="78">
        <f>'Working Capital'!E42</f>
        <v>-80.74324973612157</v>
      </c>
      <c r="F94" s="78">
        <f>'Working Capital'!F42</f>
        <v>-42.276433452411425</v>
      </c>
      <c r="G94" s="78">
        <f>'Working Capital'!G42</f>
        <v>-1.9472064177671342</v>
      </c>
      <c r="H94" s="78">
        <f>'Working Capital'!H42</f>
        <v>-16.096943011139103</v>
      </c>
      <c r="I94" s="78">
        <f>'Working Capital'!I42</f>
        <v>-2.2609893085972601</v>
      </c>
      <c r="J94" s="78">
        <f>'Working Capital'!J42</f>
        <v>-10.779792308459406</v>
      </c>
      <c r="K94" s="78">
        <f>'Working Capital'!K42</f>
        <v>-3.2984005251245776</v>
      </c>
      <c r="L94" s="78">
        <f>'Working Capital'!L42</f>
        <v>-3.3697762416379078</v>
      </c>
      <c r="M94" s="78">
        <f>'Working Capital'!M42</f>
        <v>-3.4427146651317457</v>
      </c>
      <c r="N94" s="78">
        <f>'Working Capital'!N42</f>
        <v>-3.5172504295621536</v>
      </c>
      <c r="O94" s="78">
        <f>'Working Capital'!O42</f>
        <v>-3.5934189460591881</v>
      </c>
      <c r="P94" s="78">
        <f>'Working Capital'!P42</f>
        <v>-3.6712564205839158</v>
      </c>
      <c r="Q94" s="78">
        <f>'Working Capital'!Q42</f>
        <v>-3.7507998719891589</v>
      </c>
      <c r="R94" s="78">
        <f>'Working Capital'!R42</f>
        <v>-3.832087150497415</v>
      </c>
      <c r="S94" s="78">
        <f>'Working Capital'!S42</f>
        <v>-3.9151569566024023</v>
      </c>
      <c r="T94" s="78">
        <f>'Working Capital'!T42</f>
        <v>-4.0000488604070767</v>
      </c>
      <c r="U94" s="78">
        <f>'Working Capital'!U42</f>
        <v>-4.0868033214044885</v>
      </c>
      <c r="V94" s="78">
        <f>'Working Capital'!V42</f>
        <v>194.58232762349593</v>
      </c>
    </row>
    <row r="95" spans="1:22" ht="15" customHeight="1" x14ac:dyDescent="0.2">
      <c r="A95" s="5" t="s">
        <v>800</v>
      </c>
      <c r="B95" s="78">
        <f>'Working Capital'!B44</f>
        <v>0</v>
      </c>
      <c r="C95" s="78">
        <f>'Working Capital'!C44</f>
        <v>0</v>
      </c>
      <c r="D95" s="78">
        <f>'Working Capital'!D44</f>
        <v>0</v>
      </c>
      <c r="E95" s="78">
        <f>'Working Capital'!E44</f>
        <v>45.884391780821908</v>
      </c>
      <c r="F95" s="78">
        <f>'Working Capital'!F44</f>
        <v>24.662860582191776</v>
      </c>
      <c r="G95" s="78">
        <f>'Working Capital'!G44</f>
        <v>1.7636813090753378</v>
      </c>
      <c r="H95" s="78">
        <f>'Working Capital'!H44</f>
        <v>10.043185232234578</v>
      </c>
      <c r="I95" s="78">
        <f>'Working Capital'!I44</f>
        <v>2.0588529726080935</v>
      </c>
      <c r="J95" s="78">
        <f>'Working Capital'!J44</f>
        <v>2.1103242969232809</v>
      </c>
      <c r="K95" s="78">
        <f>'Working Capital'!K44</f>
        <v>2.163082404346369</v>
      </c>
      <c r="L95" s="78">
        <f>'Working Capital'!L44</f>
        <v>2.2171594644550368</v>
      </c>
      <c r="M95" s="78">
        <f>'Working Capital'!M44</f>
        <v>2.2725884510663832</v>
      </c>
      <c r="N95" s="78">
        <f>'Working Capital'!N44</f>
        <v>2.3294031623430698</v>
      </c>
      <c r="O95" s="78">
        <f>'Working Capital'!O44</f>
        <v>2.3876382414016319</v>
      </c>
      <c r="P95" s="78">
        <f>'Working Capital'!P44</f>
        <v>2.4473291974367015</v>
      </c>
      <c r="Q95" s="78">
        <f>'Working Capital'!Q44</f>
        <v>2.5085124273725938</v>
      </c>
      <c r="R95" s="78">
        <f>'Working Capital'!R44</f>
        <v>2.5712252380569254</v>
      </c>
      <c r="S95" s="78">
        <f>'Working Capital'!S44</f>
        <v>2.6355058690083268</v>
      </c>
      <c r="T95" s="78">
        <f>'Working Capital'!T44</f>
        <v>2.7013935157335567</v>
      </c>
      <c r="U95" s="78">
        <f>'Working Capital'!U44</f>
        <v>2.7689283536268903</v>
      </c>
      <c r="V95" s="78">
        <f>'Working Capital'!V44</f>
        <v>-113.52606249870246</v>
      </c>
    </row>
    <row r="96" spans="1:22" ht="15" customHeight="1" x14ac:dyDescent="0.2">
      <c r="A96" s="35" t="s">
        <v>801</v>
      </c>
      <c r="B96" s="84">
        <f t="shared" ref="B96:V96" si="25">SUM(B87,B89:B91,B93:B95)</f>
        <v>0</v>
      </c>
      <c r="C96" s="84">
        <f t="shared" si="25"/>
        <v>0</v>
      </c>
      <c r="D96" s="84">
        <f t="shared" si="25"/>
        <v>0</v>
      </c>
      <c r="E96" s="84">
        <f t="shared" si="25"/>
        <v>79.350388957815852</v>
      </c>
      <c r="F96" s="84">
        <f t="shared" si="25"/>
        <v>192.74471642926065</v>
      </c>
      <c r="G96" s="84">
        <f t="shared" si="25"/>
        <v>276.69109906013489</v>
      </c>
      <c r="H96" s="84">
        <f t="shared" si="25"/>
        <v>294.0256627259144</v>
      </c>
      <c r="I96" s="84">
        <f t="shared" si="25"/>
        <v>306.55258155634726</v>
      </c>
      <c r="J96" s="84">
        <f t="shared" si="25"/>
        <v>352.08105667787652</v>
      </c>
      <c r="K96" s="84">
        <f t="shared" si="25"/>
        <v>365.06633767091114</v>
      </c>
      <c r="L96" s="84">
        <f t="shared" si="25"/>
        <v>370.56509575404073</v>
      </c>
      <c r="M96" s="84">
        <f t="shared" si="25"/>
        <v>376.12876478207568</v>
      </c>
      <c r="N96" s="84">
        <f t="shared" si="25"/>
        <v>381.75751636849509</v>
      </c>
      <c r="O96" s="84">
        <f t="shared" si="25"/>
        <v>387.45149739391252</v>
      </c>
      <c r="P96" s="84">
        <f t="shared" si="25"/>
        <v>393.21082880728949</v>
      </c>
      <c r="Q96" s="84">
        <f t="shared" si="25"/>
        <v>399.03560438557128</v>
      </c>
      <c r="R96" s="84">
        <f t="shared" si="25"/>
        <v>404.9258894504722</v>
      </c>
      <c r="S96" s="84">
        <f t="shared" si="25"/>
        <v>410.88171954110112</v>
      </c>
      <c r="T96" s="84">
        <f t="shared" si="25"/>
        <v>416.90309904108278</v>
      </c>
      <c r="U96" s="84">
        <f t="shared" si="25"/>
        <v>422.98999975879303</v>
      </c>
      <c r="V96" s="84">
        <f t="shared" si="25"/>
        <v>181.96832067919564</v>
      </c>
    </row>
    <row r="97" spans="1:22" ht="15" customHeight="1" x14ac:dyDescent="0.2">
      <c r="A97" s="5" t="s">
        <v>802</v>
      </c>
      <c r="B97" s="90">
        <f>-'Debt Schedule'!B19</f>
        <v>0</v>
      </c>
      <c r="C97" s="90">
        <f>-'Debt Schedule'!C19</f>
        <v>0</v>
      </c>
      <c r="D97" s="90">
        <f>-'Debt Schedule'!D19</f>
        <v>0</v>
      </c>
      <c r="E97" s="90">
        <f>-'Debt Schedule'!E19</f>
        <v>-36.833333333333329</v>
      </c>
      <c r="F97" s="90">
        <f>-'Debt Schedule'!F19</f>
        <v>-32.5</v>
      </c>
      <c r="G97" s="90">
        <f>-'Debt Schedule'!G19</f>
        <v>-28.166666666666661</v>
      </c>
      <c r="H97" s="90">
        <f>-'Debt Schedule'!H19</f>
        <v>-23.833333333333332</v>
      </c>
      <c r="I97" s="90">
        <f>-'Debt Schedule'!I19</f>
        <v>-19.499999999999996</v>
      </c>
      <c r="J97" s="90">
        <f>-'Debt Schedule'!J19</f>
        <v>-15.166666666666661</v>
      </c>
      <c r="K97" s="90">
        <f>-'Debt Schedule'!K19</f>
        <v>-10.83333333333333</v>
      </c>
      <c r="L97" s="90">
        <f>-'Debt Schedule'!L19</f>
        <v>-6.4999999999999964</v>
      </c>
      <c r="M97" s="90">
        <f>-'Debt Schedule'!M19</f>
        <v>-2.1666666666666647</v>
      </c>
      <c r="N97" s="90">
        <f>-'Debt Schedule'!N19</f>
        <v>0</v>
      </c>
      <c r="O97" s="90">
        <f>-'Debt Schedule'!O19</f>
        <v>0</v>
      </c>
      <c r="P97" s="90">
        <f>-'Debt Schedule'!P19</f>
        <v>0</v>
      </c>
      <c r="Q97" s="90">
        <f>-'Debt Schedule'!Q19</f>
        <v>0</v>
      </c>
      <c r="R97" s="90">
        <f>-'Debt Schedule'!R19</f>
        <v>0</v>
      </c>
      <c r="S97" s="90">
        <f>-'Debt Schedule'!S19</f>
        <v>0</v>
      </c>
      <c r="T97" s="90">
        <f>-'Debt Schedule'!T19</f>
        <v>0</v>
      </c>
      <c r="U97" s="90">
        <f>-'Debt Schedule'!U19</f>
        <v>0</v>
      </c>
      <c r="V97" s="90">
        <f>-'Debt Schedule'!V19</f>
        <v>0</v>
      </c>
    </row>
    <row r="98" spans="1:22" ht="15" customHeight="1" x14ac:dyDescent="0.2">
      <c r="A98" s="5" t="s">
        <v>803</v>
      </c>
      <c r="B98" s="78">
        <f t="shared" ref="B98:V98" si="26">B32</f>
        <v>0</v>
      </c>
      <c r="C98" s="78">
        <f t="shared" si="26"/>
        <v>0</v>
      </c>
      <c r="D98" s="78">
        <f t="shared" si="26"/>
        <v>0</v>
      </c>
      <c r="E98" s="78">
        <f t="shared" si="26"/>
        <v>-18.018665538539665</v>
      </c>
      <c r="F98" s="78">
        <f t="shared" si="26"/>
        <v>-39.413279067944679</v>
      </c>
      <c r="G98" s="78">
        <f t="shared" si="26"/>
        <v>-52.592179951832193</v>
      </c>
      <c r="H98" s="78">
        <f t="shared" si="26"/>
        <v>-61.650745617108598</v>
      </c>
      <c r="I98" s="78">
        <f t="shared" si="26"/>
        <v>-62.59982926363385</v>
      </c>
      <c r="J98" s="78">
        <f t="shared" si="26"/>
        <v>-78.795024735904761</v>
      </c>
      <c r="K98" s="78">
        <f t="shared" si="26"/>
        <v>-81.394286919525754</v>
      </c>
      <c r="L98" s="78">
        <f t="shared" si="26"/>
        <v>-84.008218585120076</v>
      </c>
      <c r="M98" s="78">
        <f t="shared" si="26"/>
        <v>-86.636786894951513</v>
      </c>
      <c r="N98" s="78">
        <f t="shared" si="26"/>
        <v>-88.673283532177891</v>
      </c>
      <c r="O98" s="78">
        <f t="shared" si="26"/>
        <v>-90.11765765404374</v>
      </c>
      <c r="P98" s="78">
        <f t="shared" si="26"/>
        <v>-91.57651549903926</v>
      </c>
      <c r="Q98" s="78">
        <f t="shared" si="26"/>
        <v>-93.049786647644282</v>
      </c>
      <c r="R98" s="78">
        <f t="shared" si="26"/>
        <v>-94.537390269598802</v>
      </c>
      <c r="S98" s="78">
        <f t="shared" si="26"/>
        <v>-96.039234690629243</v>
      </c>
      <c r="T98" s="78">
        <f t="shared" si="26"/>
        <v>-97.555216944882972</v>
      </c>
      <c r="U98" s="78">
        <f t="shared" si="26"/>
        <v>-87.88522231264453</v>
      </c>
      <c r="V98" s="78">
        <f t="shared" si="26"/>
        <v>0</v>
      </c>
    </row>
    <row r="99" spans="1:22" ht="15" customHeight="1" x14ac:dyDescent="0.2">
      <c r="A99" s="35" t="s">
        <v>804</v>
      </c>
      <c r="B99" s="87">
        <f t="shared" ref="B99:V99" si="27">B96+B97+B98</f>
        <v>0</v>
      </c>
      <c r="C99" s="87">
        <f t="shared" si="27"/>
        <v>0</v>
      </c>
      <c r="D99" s="87">
        <f t="shared" si="27"/>
        <v>0</v>
      </c>
      <c r="E99" s="87">
        <f t="shared" si="27"/>
        <v>24.498390085942859</v>
      </c>
      <c r="F99" s="87">
        <f t="shared" si="27"/>
        <v>120.83143736131598</v>
      </c>
      <c r="G99" s="87">
        <f t="shared" si="27"/>
        <v>195.93225244163602</v>
      </c>
      <c r="H99" s="87">
        <f t="shared" si="27"/>
        <v>208.54158377547247</v>
      </c>
      <c r="I99" s="87">
        <f t="shared" si="27"/>
        <v>224.4527522927134</v>
      </c>
      <c r="J99" s="87">
        <f t="shared" si="27"/>
        <v>258.11936527530509</v>
      </c>
      <c r="K99" s="87">
        <f t="shared" si="27"/>
        <v>272.83871741805206</v>
      </c>
      <c r="L99" s="87">
        <f t="shared" si="27"/>
        <v>280.05687716892066</v>
      </c>
      <c r="M99" s="87">
        <f t="shared" si="27"/>
        <v>287.32531122045748</v>
      </c>
      <c r="N99" s="87">
        <f t="shared" si="27"/>
        <v>293.0842328363172</v>
      </c>
      <c r="O99" s="87">
        <f t="shared" si="27"/>
        <v>297.33383973986878</v>
      </c>
      <c r="P99" s="87">
        <f t="shared" si="27"/>
        <v>301.63431330825023</v>
      </c>
      <c r="Q99" s="87">
        <f t="shared" si="27"/>
        <v>305.98581773792699</v>
      </c>
      <c r="R99" s="87">
        <f t="shared" si="27"/>
        <v>310.3884991808734</v>
      </c>
      <c r="S99" s="87">
        <f t="shared" si="27"/>
        <v>314.84248485047186</v>
      </c>
      <c r="T99" s="87">
        <f t="shared" si="27"/>
        <v>319.34788209619978</v>
      </c>
      <c r="U99" s="87">
        <f t="shared" si="27"/>
        <v>335.10477744614849</v>
      </c>
      <c r="V99" s="87">
        <f t="shared" si="27"/>
        <v>181.96832067919564</v>
      </c>
    </row>
    <row r="101" spans="1:22" ht="15" customHeight="1" x14ac:dyDescent="0.2">
      <c r="A101" s="3" t="s">
        <v>805</v>
      </c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</row>
    <row r="102" spans="1:22" ht="15" customHeight="1" x14ac:dyDescent="0.2">
      <c r="A102" s="5" t="s">
        <v>806</v>
      </c>
      <c r="B102" s="90">
        <f>-'Project Cash Flow'!B26-'Project Cash Flow'!B27</f>
        <v>-225</v>
      </c>
      <c r="C102" s="90">
        <f>-'Project Cash Flow'!C26-'Project Cash Flow'!C27</f>
        <v>-337.5</v>
      </c>
      <c r="D102" s="90">
        <f>-'Project Cash Flow'!D26-'Project Cash Flow'!D27</f>
        <v>-187.5</v>
      </c>
      <c r="E102" s="90">
        <f>-'Project Cash Flow'!E26-'Project Cash Flow'!E27</f>
        <v>-9.692015624999998</v>
      </c>
      <c r="F102" s="90">
        <f>-'Project Cash Flow'!F26-'Project Cash Flow'!F27</f>
        <v>-14.901474023437496</v>
      </c>
      <c r="G102" s="90">
        <f>-'Project Cash Flow'!G26-'Project Cash Flow'!G27</f>
        <v>-18.328813048828117</v>
      </c>
      <c r="H102" s="90">
        <f>-'Project Cash Flow'!H26-'Project Cash Flow'!H27</f>
        <v>-20.874481527832025</v>
      </c>
      <c r="I102" s="90">
        <f>-'Project Cash Flow'!I26-'Project Cash Flow'!I27</f>
        <v>-21.396343566027824</v>
      </c>
      <c r="J102" s="90">
        <f>-'Project Cash Flow'!J26-'Project Cash Flow'!J27</f>
        <v>-21.931252155178516</v>
      </c>
      <c r="K102" s="90">
        <f>-'Project Cash Flow'!K26-'Project Cash Flow'!K27</f>
        <v>-22.479533459057979</v>
      </c>
      <c r="L102" s="90">
        <f>-'Project Cash Flow'!L26-'Project Cash Flow'!L27</f>
        <v>-23.041521795534429</v>
      </c>
      <c r="M102" s="90">
        <f>-'Project Cash Flow'!M26-'Project Cash Flow'!M27</f>
        <v>-23.617559840422786</v>
      </c>
      <c r="N102" s="90">
        <f>-'Project Cash Flow'!N26-'Project Cash Flow'!N27</f>
        <v>-24.207998836433354</v>
      </c>
      <c r="O102" s="90">
        <f>-'Project Cash Flow'!O26-'Project Cash Flow'!O27</f>
        <v>-24.813198807344186</v>
      </c>
      <c r="P102" s="90">
        <f>-'Project Cash Flow'!P26-'Project Cash Flow'!P27</f>
        <v>-25.433528777527791</v>
      </c>
      <c r="Q102" s="90">
        <f>-'Project Cash Flow'!Q26-'Project Cash Flow'!Q27</f>
        <v>-26.069366996965989</v>
      </c>
      <c r="R102" s="90">
        <f>-'Project Cash Flow'!R26-'Project Cash Flow'!R27</f>
        <v>-26.721101171890137</v>
      </c>
      <c r="S102" s="90">
        <f>-'Project Cash Flow'!S26-'Project Cash Flow'!S27</f>
        <v>-27.389128701187389</v>
      </c>
      <c r="T102" s="90">
        <f>-'Project Cash Flow'!T26-'Project Cash Flow'!T27</f>
        <v>-28.07385691871707</v>
      </c>
      <c r="U102" s="90">
        <f>-'Project Cash Flow'!U26-'Project Cash Flow'!U27</f>
        <v>-28.775703341685002</v>
      </c>
      <c r="V102" s="90">
        <f>-'Project Cash Flow'!V26-'Project Cash Flow'!V27</f>
        <v>0</v>
      </c>
    </row>
    <row r="103" spans="1:22" ht="15" customHeight="1" x14ac:dyDescent="0.2">
      <c r="A103" s="5" t="s">
        <v>807</v>
      </c>
      <c r="B103" s="90">
        <f>-'Project Cash Flow'!B28</f>
        <v>0</v>
      </c>
      <c r="C103" s="90">
        <f>-'Project Cash Flow'!C28</f>
        <v>0</v>
      </c>
      <c r="D103" s="90">
        <f>-'Project Cash Flow'!D28</f>
        <v>0</v>
      </c>
      <c r="E103" s="90">
        <f>-'Project Cash Flow'!E28</f>
        <v>0</v>
      </c>
      <c r="F103" s="90">
        <f>-'Project Cash Flow'!F28</f>
        <v>0</v>
      </c>
      <c r="G103" s="90">
        <f>-'Project Cash Flow'!G28</f>
        <v>0</v>
      </c>
      <c r="H103" s="90">
        <f>-'Project Cash Flow'!H28</f>
        <v>0</v>
      </c>
      <c r="I103" s="90">
        <f>-'Project Cash Flow'!I28</f>
        <v>0</v>
      </c>
      <c r="J103" s="90">
        <f>-'Project Cash Flow'!J28</f>
        <v>0</v>
      </c>
      <c r="K103" s="90">
        <f>-'Project Cash Flow'!K28</f>
        <v>0</v>
      </c>
      <c r="L103" s="90">
        <f>-'Project Cash Flow'!L28</f>
        <v>0</v>
      </c>
      <c r="M103" s="90">
        <f>-'Project Cash Flow'!M28</f>
        <v>0</v>
      </c>
      <c r="N103" s="90">
        <f>-'Project Cash Flow'!N28</f>
        <v>0</v>
      </c>
      <c r="O103" s="90">
        <f>-'Project Cash Flow'!O28</f>
        <v>0</v>
      </c>
      <c r="P103" s="90">
        <f>-'Project Cash Flow'!P28</f>
        <v>0</v>
      </c>
      <c r="Q103" s="90">
        <f>-'Project Cash Flow'!Q28</f>
        <v>0</v>
      </c>
      <c r="R103" s="90">
        <f>-'Project Cash Flow'!R28</f>
        <v>0</v>
      </c>
      <c r="S103" s="90">
        <f>-'Project Cash Flow'!S28</f>
        <v>0</v>
      </c>
      <c r="T103" s="90">
        <f>-'Project Cash Flow'!T28</f>
        <v>0</v>
      </c>
      <c r="U103" s="90">
        <f>-'Project Cash Flow'!U28</f>
        <v>-40</v>
      </c>
      <c r="V103" s="90">
        <f>-'Project Cash Flow'!V28</f>
        <v>0</v>
      </c>
    </row>
    <row r="104" spans="1:22" ht="15" customHeight="1" x14ac:dyDescent="0.2">
      <c r="A104" s="35" t="s">
        <v>808</v>
      </c>
      <c r="B104" s="87">
        <f t="shared" ref="B104:V104" si="28">B102+B103</f>
        <v>-225</v>
      </c>
      <c r="C104" s="87">
        <f t="shared" si="28"/>
        <v>-337.5</v>
      </c>
      <c r="D104" s="87">
        <f t="shared" si="28"/>
        <v>-187.5</v>
      </c>
      <c r="E104" s="87">
        <f t="shared" si="28"/>
        <v>-9.692015624999998</v>
      </c>
      <c r="F104" s="87">
        <f t="shared" si="28"/>
        <v>-14.901474023437496</v>
      </c>
      <c r="G104" s="87">
        <f t="shared" si="28"/>
        <v>-18.328813048828117</v>
      </c>
      <c r="H104" s="87">
        <f t="shared" si="28"/>
        <v>-20.874481527832025</v>
      </c>
      <c r="I104" s="87">
        <f t="shared" si="28"/>
        <v>-21.396343566027824</v>
      </c>
      <c r="J104" s="87">
        <f t="shared" si="28"/>
        <v>-21.931252155178516</v>
      </c>
      <c r="K104" s="87">
        <f t="shared" si="28"/>
        <v>-22.479533459057979</v>
      </c>
      <c r="L104" s="87">
        <f t="shared" si="28"/>
        <v>-23.041521795534429</v>
      </c>
      <c r="M104" s="87">
        <f t="shared" si="28"/>
        <v>-23.617559840422786</v>
      </c>
      <c r="N104" s="87">
        <f t="shared" si="28"/>
        <v>-24.207998836433354</v>
      </c>
      <c r="O104" s="87">
        <f t="shared" si="28"/>
        <v>-24.813198807344186</v>
      </c>
      <c r="P104" s="87">
        <f t="shared" si="28"/>
        <v>-25.433528777527791</v>
      </c>
      <c r="Q104" s="87">
        <f t="shared" si="28"/>
        <v>-26.069366996965989</v>
      </c>
      <c r="R104" s="87">
        <f t="shared" si="28"/>
        <v>-26.721101171890137</v>
      </c>
      <c r="S104" s="87">
        <f t="shared" si="28"/>
        <v>-27.389128701187389</v>
      </c>
      <c r="T104" s="87">
        <f t="shared" si="28"/>
        <v>-28.07385691871707</v>
      </c>
      <c r="U104" s="87">
        <f t="shared" si="28"/>
        <v>-68.775703341685002</v>
      </c>
      <c r="V104" s="87">
        <f t="shared" si="28"/>
        <v>0</v>
      </c>
    </row>
    <row r="106" spans="1:22" ht="15" customHeight="1" x14ac:dyDescent="0.2">
      <c r="A106" s="15" t="s">
        <v>809</v>
      </c>
      <c r="B106" s="16"/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6"/>
      <c r="N106" s="16"/>
      <c r="O106" s="16"/>
      <c r="P106" s="16"/>
      <c r="Q106" s="16"/>
      <c r="R106" s="16"/>
      <c r="S106" s="16"/>
      <c r="T106" s="16"/>
      <c r="U106" s="16"/>
      <c r="V106" s="16"/>
    </row>
    <row r="107" spans="1:22" ht="15" customHeight="1" x14ac:dyDescent="0.2">
      <c r="A107" s="5" t="s">
        <v>810</v>
      </c>
      <c r="B107" s="90">
        <f>'Equity Cash Flow'!B9</f>
        <v>78.75</v>
      </c>
      <c r="C107" s="90">
        <f>'Equity Cash Flow'!C9</f>
        <v>118.125</v>
      </c>
      <c r="D107" s="90">
        <f>'Equity Cash Flow'!D9</f>
        <v>65.625</v>
      </c>
      <c r="E107" s="90">
        <f>'Equity Cash Flow'!E9</f>
        <v>0</v>
      </c>
      <c r="F107" s="90">
        <f>'Equity Cash Flow'!F9</f>
        <v>0</v>
      </c>
      <c r="G107" s="90">
        <f>'Equity Cash Flow'!G9</f>
        <v>0</v>
      </c>
      <c r="H107" s="90">
        <f>'Equity Cash Flow'!H9</f>
        <v>0</v>
      </c>
      <c r="I107" s="90">
        <f>'Equity Cash Flow'!I9</f>
        <v>0</v>
      </c>
      <c r="J107" s="90">
        <f>'Equity Cash Flow'!J9</f>
        <v>0</v>
      </c>
      <c r="K107" s="90">
        <f>'Equity Cash Flow'!K9</f>
        <v>0</v>
      </c>
      <c r="L107" s="90">
        <f>'Equity Cash Flow'!L9</f>
        <v>0</v>
      </c>
      <c r="M107" s="90">
        <f>'Equity Cash Flow'!M9</f>
        <v>0</v>
      </c>
      <c r="N107" s="90">
        <f>'Equity Cash Flow'!N9</f>
        <v>0</v>
      </c>
      <c r="O107" s="90">
        <f>'Equity Cash Flow'!O9</f>
        <v>0</v>
      </c>
      <c r="P107" s="90">
        <f>'Equity Cash Flow'!P9</f>
        <v>0</v>
      </c>
      <c r="Q107" s="90">
        <f>'Equity Cash Flow'!Q9</f>
        <v>0</v>
      </c>
      <c r="R107" s="90">
        <f>'Equity Cash Flow'!R9</f>
        <v>0</v>
      </c>
      <c r="S107" s="90">
        <f>'Equity Cash Flow'!S9</f>
        <v>0</v>
      </c>
      <c r="T107" s="90">
        <f>'Equity Cash Flow'!T9</f>
        <v>0</v>
      </c>
      <c r="U107" s="90">
        <f>'Equity Cash Flow'!U9</f>
        <v>0</v>
      </c>
      <c r="V107" s="90">
        <f>'Equity Cash Flow'!V9</f>
        <v>0</v>
      </c>
    </row>
    <row r="108" spans="1:22" ht="15" customHeight="1" x14ac:dyDescent="0.2">
      <c r="A108" s="5" t="s">
        <v>811</v>
      </c>
      <c r="B108" s="90">
        <f>'Debt Schedule'!B8</f>
        <v>146.25</v>
      </c>
      <c r="C108" s="90">
        <f>'Debt Schedule'!C8</f>
        <v>219.375</v>
      </c>
      <c r="D108" s="90">
        <f>'Debt Schedule'!D8</f>
        <v>121.875</v>
      </c>
      <c r="E108" s="90">
        <f>'Debt Schedule'!E8</f>
        <v>0</v>
      </c>
      <c r="F108" s="90">
        <f>'Debt Schedule'!F8</f>
        <v>0</v>
      </c>
      <c r="G108" s="90">
        <f>'Debt Schedule'!G8</f>
        <v>0</v>
      </c>
      <c r="H108" s="90">
        <f>'Debt Schedule'!H8</f>
        <v>0</v>
      </c>
      <c r="I108" s="90">
        <f>'Debt Schedule'!I8</f>
        <v>0</v>
      </c>
      <c r="J108" s="90">
        <f>'Debt Schedule'!J8</f>
        <v>0</v>
      </c>
      <c r="K108" s="90">
        <f>'Debt Schedule'!K8</f>
        <v>0</v>
      </c>
      <c r="L108" s="90">
        <f>'Debt Schedule'!L8</f>
        <v>0</v>
      </c>
      <c r="M108" s="90">
        <f>'Debt Schedule'!M8</f>
        <v>0</v>
      </c>
      <c r="N108" s="90">
        <f>'Debt Schedule'!N8</f>
        <v>0</v>
      </c>
      <c r="O108" s="90">
        <f>'Debt Schedule'!O8</f>
        <v>0</v>
      </c>
      <c r="P108" s="90">
        <f>'Debt Schedule'!P8</f>
        <v>0</v>
      </c>
      <c r="Q108" s="90">
        <f>'Debt Schedule'!Q8</f>
        <v>0</v>
      </c>
      <c r="R108" s="90">
        <f>'Debt Schedule'!R8</f>
        <v>0</v>
      </c>
      <c r="S108" s="90">
        <f>'Debt Schedule'!S8</f>
        <v>0</v>
      </c>
      <c r="T108" s="90">
        <f>'Debt Schedule'!T8</f>
        <v>0</v>
      </c>
      <c r="U108" s="90">
        <f>'Debt Schedule'!U8</f>
        <v>0</v>
      </c>
      <c r="V108" s="90">
        <f>'Debt Schedule'!V8</f>
        <v>0</v>
      </c>
    </row>
    <row r="109" spans="1:22" ht="15" customHeight="1" x14ac:dyDescent="0.2">
      <c r="A109" s="5" t="s">
        <v>812</v>
      </c>
      <c r="B109" s="90">
        <f>'Debt Schedule'!B13</f>
        <v>0</v>
      </c>
      <c r="C109" s="90">
        <f>'Debt Schedule'!C13</f>
        <v>0</v>
      </c>
      <c r="D109" s="90">
        <f>'Debt Schedule'!D13</f>
        <v>0</v>
      </c>
      <c r="E109" s="90">
        <f>'Debt Schedule'!E13</f>
        <v>-54.166666666666664</v>
      </c>
      <c r="F109" s="90">
        <f>'Debt Schedule'!F13</f>
        <v>-54.166666666666664</v>
      </c>
      <c r="G109" s="90">
        <f>'Debt Schedule'!G13</f>
        <v>-54.166666666666664</v>
      </c>
      <c r="H109" s="90">
        <f>'Debt Schedule'!H13</f>
        <v>-54.166666666666664</v>
      </c>
      <c r="I109" s="90">
        <f>'Debt Schedule'!I13</f>
        <v>-54.166666666666664</v>
      </c>
      <c r="J109" s="90">
        <f>'Debt Schedule'!J13</f>
        <v>-54.166666666666664</v>
      </c>
      <c r="K109" s="90">
        <f>'Debt Schedule'!K13</f>
        <v>-54.166666666666664</v>
      </c>
      <c r="L109" s="90">
        <f>'Debt Schedule'!L13</f>
        <v>-54.166666666666664</v>
      </c>
      <c r="M109" s="90">
        <f>'Debt Schedule'!M13</f>
        <v>-54.166666666666622</v>
      </c>
      <c r="N109" s="90">
        <f>'Debt Schedule'!N13</f>
        <v>0</v>
      </c>
      <c r="O109" s="90">
        <f>'Debt Schedule'!O13</f>
        <v>0</v>
      </c>
      <c r="P109" s="90">
        <f>'Debt Schedule'!P13</f>
        <v>0</v>
      </c>
      <c r="Q109" s="90">
        <f>'Debt Schedule'!Q13</f>
        <v>0</v>
      </c>
      <c r="R109" s="90">
        <f>'Debt Schedule'!R13</f>
        <v>0</v>
      </c>
      <c r="S109" s="90">
        <f>'Debt Schedule'!S13</f>
        <v>0</v>
      </c>
      <c r="T109" s="90">
        <f>'Debt Schedule'!T13</f>
        <v>0</v>
      </c>
      <c r="U109" s="90">
        <f>'Debt Schedule'!U13</f>
        <v>0</v>
      </c>
      <c r="V109" s="90">
        <f>'Debt Schedule'!V13</f>
        <v>0</v>
      </c>
    </row>
    <row r="110" spans="1:22" ht="15" customHeight="1" x14ac:dyDescent="0.2">
      <c r="A110" s="35" t="s">
        <v>813</v>
      </c>
      <c r="B110" s="87">
        <f t="shared" ref="B110:V110" si="29">B107+B108+B109</f>
        <v>225</v>
      </c>
      <c r="C110" s="87">
        <f t="shared" si="29"/>
        <v>337.5</v>
      </c>
      <c r="D110" s="87">
        <f t="shared" si="29"/>
        <v>187.5</v>
      </c>
      <c r="E110" s="87">
        <f t="shared" si="29"/>
        <v>-54.166666666666664</v>
      </c>
      <c r="F110" s="87">
        <f t="shared" si="29"/>
        <v>-54.166666666666664</v>
      </c>
      <c r="G110" s="87">
        <f t="shared" si="29"/>
        <v>-54.166666666666664</v>
      </c>
      <c r="H110" s="87">
        <f t="shared" si="29"/>
        <v>-54.166666666666664</v>
      </c>
      <c r="I110" s="87">
        <f t="shared" si="29"/>
        <v>-54.166666666666664</v>
      </c>
      <c r="J110" s="87">
        <f t="shared" si="29"/>
        <v>-54.166666666666664</v>
      </c>
      <c r="K110" s="87">
        <f t="shared" si="29"/>
        <v>-54.166666666666664</v>
      </c>
      <c r="L110" s="87">
        <f t="shared" si="29"/>
        <v>-54.166666666666664</v>
      </c>
      <c r="M110" s="87">
        <f t="shared" si="29"/>
        <v>-54.166666666666622</v>
      </c>
      <c r="N110" s="87">
        <f t="shared" si="29"/>
        <v>0</v>
      </c>
      <c r="O110" s="87">
        <f t="shared" si="29"/>
        <v>0</v>
      </c>
      <c r="P110" s="87">
        <f t="shared" si="29"/>
        <v>0</v>
      </c>
      <c r="Q110" s="87">
        <f t="shared" si="29"/>
        <v>0</v>
      </c>
      <c r="R110" s="87">
        <f t="shared" si="29"/>
        <v>0</v>
      </c>
      <c r="S110" s="87">
        <f t="shared" si="29"/>
        <v>0</v>
      </c>
      <c r="T110" s="87">
        <f t="shared" si="29"/>
        <v>0</v>
      </c>
      <c r="U110" s="87">
        <f t="shared" si="29"/>
        <v>0</v>
      </c>
      <c r="V110" s="87">
        <f t="shared" si="29"/>
        <v>0</v>
      </c>
    </row>
    <row r="112" spans="1:22" ht="15" customHeight="1" x14ac:dyDescent="0.2">
      <c r="A112" s="35" t="s">
        <v>814</v>
      </c>
      <c r="B112" s="87">
        <f>B99+B104+B110</f>
        <v>0</v>
      </c>
      <c r="C112" s="87">
        <f t="shared" ref="C112:V112" si="30">B112+C99+C104+C110</f>
        <v>0</v>
      </c>
      <c r="D112" s="87">
        <f t="shared" si="30"/>
        <v>0</v>
      </c>
      <c r="E112" s="87">
        <f t="shared" si="30"/>
        <v>-39.360292205723802</v>
      </c>
      <c r="F112" s="87">
        <f t="shared" si="30"/>
        <v>12.403004465488017</v>
      </c>
      <c r="G112" s="87">
        <f t="shared" si="30"/>
        <v>135.83977719162925</v>
      </c>
      <c r="H112" s="87">
        <f t="shared" si="30"/>
        <v>269.34021277260302</v>
      </c>
      <c r="I112" s="87">
        <f t="shared" si="30"/>
        <v>418.2299548326219</v>
      </c>
      <c r="J112" s="87">
        <f t="shared" si="30"/>
        <v>600.25140128608189</v>
      </c>
      <c r="K112" s="87">
        <f t="shared" si="30"/>
        <v>796.44391857840935</v>
      </c>
      <c r="L112" s="87">
        <f t="shared" si="30"/>
        <v>999.29260728512884</v>
      </c>
      <c r="M112" s="87">
        <f t="shared" si="30"/>
        <v>1208.833691998497</v>
      </c>
      <c r="N112" s="87">
        <f t="shared" si="30"/>
        <v>1477.7099259983809</v>
      </c>
      <c r="O112" s="87">
        <f t="shared" si="30"/>
        <v>1750.2305669309055</v>
      </c>
      <c r="P112" s="87">
        <f t="shared" si="30"/>
        <v>2026.4313514616281</v>
      </c>
      <c r="Q112" s="87">
        <f t="shared" si="30"/>
        <v>2306.3478022025893</v>
      </c>
      <c r="R112" s="87">
        <f t="shared" si="30"/>
        <v>2590.0152002115728</v>
      </c>
      <c r="S112" s="87">
        <f t="shared" si="30"/>
        <v>2877.4685563608573</v>
      </c>
      <c r="T112" s="87">
        <f t="shared" si="30"/>
        <v>3168.7425815383403</v>
      </c>
      <c r="U112" s="87">
        <f t="shared" si="30"/>
        <v>3435.0716556428038</v>
      </c>
      <c r="V112" s="87">
        <f t="shared" si="30"/>
        <v>3617.0399763219993</v>
      </c>
    </row>
    <row r="115" spans="1:22" ht="15" customHeight="1" x14ac:dyDescent="0.2">
      <c r="A115" s="47" t="s">
        <v>815</v>
      </c>
    </row>
    <row r="116" spans="1:22" ht="15" customHeight="1" x14ac:dyDescent="0.2">
      <c r="A116" s="39" t="s">
        <v>535</v>
      </c>
      <c r="B116" s="69">
        <f>Assumptions!B4+0</f>
        <v>2025</v>
      </c>
      <c r="C116" s="69">
        <f>Assumptions!B4+1</f>
        <v>2026</v>
      </c>
      <c r="D116" s="69">
        <f>Assumptions!B4+2</f>
        <v>2027</v>
      </c>
      <c r="E116" s="69">
        <f>Assumptions!B4+3</f>
        <v>2028</v>
      </c>
      <c r="F116" s="69">
        <f>Assumptions!B4+4</f>
        <v>2029</v>
      </c>
      <c r="G116" s="69">
        <f>Assumptions!B4+5</f>
        <v>2030</v>
      </c>
      <c r="H116" s="69">
        <f>Assumptions!B4+6</f>
        <v>2031</v>
      </c>
      <c r="I116" s="69">
        <f>Assumptions!B4+7</f>
        <v>2032</v>
      </c>
      <c r="J116" s="69">
        <f>Assumptions!B4+8</f>
        <v>2033</v>
      </c>
      <c r="K116" s="69">
        <f>Assumptions!B4+9</f>
        <v>2034</v>
      </c>
      <c r="L116" s="69">
        <f>Assumptions!B4+10</f>
        <v>2035</v>
      </c>
      <c r="M116" s="69">
        <f>Assumptions!B4+11</f>
        <v>2036</v>
      </c>
      <c r="N116" s="69">
        <f>Assumptions!B4+12</f>
        <v>2037</v>
      </c>
      <c r="O116" s="69">
        <f>Assumptions!B4+13</f>
        <v>2038</v>
      </c>
      <c r="P116" s="69">
        <f>Assumptions!B4+14</f>
        <v>2039</v>
      </c>
      <c r="Q116" s="69">
        <f>Assumptions!B4+15</f>
        <v>2040</v>
      </c>
      <c r="R116" s="69">
        <f>Assumptions!B4+16</f>
        <v>2041</v>
      </c>
      <c r="S116" s="69">
        <f>Assumptions!B4+17</f>
        <v>2042</v>
      </c>
      <c r="T116" s="69">
        <f>Assumptions!B4+18</f>
        <v>2043</v>
      </c>
      <c r="U116" s="69">
        <f>Assumptions!B4+19</f>
        <v>2044</v>
      </c>
      <c r="V116" s="69">
        <f>Assumptions!B4+20</f>
        <v>2045</v>
      </c>
    </row>
    <row r="118" spans="1:22" ht="15" customHeight="1" x14ac:dyDescent="0.2">
      <c r="A118" s="5" t="s">
        <v>816</v>
      </c>
      <c r="B118" s="72">
        <f t="shared" ref="B118:V118" si="31">IF(B8&lt;&gt;0,B20/B8,0)</f>
        <v>0</v>
      </c>
      <c r="C118" s="72">
        <f t="shared" si="31"/>
        <v>0</v>
      </c>
      <c r="D118" s="72">
        <f t="shared" si="31"/>
        <v>0</v>
      </c>
      <c r="E118" s="72">
        <f t="shared" si="31"/>
        <v>0.3468643165167638</v>
      </c>
      <c r="F118" s="72">
        <f t="shared" si="31"/>
        <v>0.38775563403756225</v>
      </c>
      <c r="G118" s="72">
        <f t="shared" si="31"/>
        <v>0.39757498910195616</v>
      </c>
      <c r="H118" s="72">
        <f t="shared" si="31"/>
        <v>0.3996003371815231</v>
      </c>
      <c r="I118" s="72">
        <f t="shared" si="31"/>
        <v>0.39410474725016359</v>
      </c>
      <c r="J118" s="72">
        <f t="shared" si="31"/>
        <v>0.43299513306187165</v>
      </c>
      <c r="K118" s="72">
        <f t="shared" si="31"/>
        <v>0.43183274451885018</v>
      </c>
      <c r="L118" s="72">
        <f t="shared" si="31"/>
        <v>0.43063583469364319</v>
      </c>
      <c r="M118" s="72">
        <f t="shared" si="31"/>
        <v>0.42940479952700761</v>
      </c>
      <c r="N118" s="72">
        <f t="shared" si="31"/>
        <v>0.42814002581896377</v>
      </c>
      <c r="O118" s="72">
        <f t="shared" si="31"/>
        <v>0.42684189140127526</v>
      </c>
      <c r="P118" s="72">
        <f t="shared" si="31"/>
        <v>0.42551076530651316</v>
      </c>
      <c r="Q118" s="72">
        <f t="shared" si="31"/>
        <v>0.42414700793377136</v>
      </c>
      <c r="R118" s="72">
        <f t="shared" si="31"/>
        <v>0.42275097121110033</v>
      </c>
      <c r="S118" s="72">
        <f t="shared" si="31"/>
        <v>0.42132299875472146</v>
      </c>
      <c r="T118" s="72">
        <f t="shared" si="31"/>
        <v>0.4198634260250857</v>
      </c>
      <c r="U118" s="72">
        <f t="shared" si="31"/>
        <v>0.37463852132522657</v>
      </c>
      <c r="V118" s="72">
        <f t="shared" si="31"/>
        <v>0</v>
      </c>
    </row>
    <row r="119" spans="1:22" ht="15" customHeight="1" x14ac:dyDescent="0.2">
      <c r="A119" s="5" t="s">
        <v>817</v>
      </c>
      <c r="B119" s="72">
        <f t="shared" ref="B119:V119" si="32">IF(B8&lt;&gt;0,B38/B8,0)</f>
        <v>0</v>
      </c>
      <c r="C119" s="72">
        <f t="shared" si="32"/>
        <v>0</v>
      </c>
      <c r="D119" s="72">
        <f t="shared" si="32"/>
        <v>0</v>
      </c>
      <c r="E119" s="72">
        <f t="shared" si="32"/>
        <v>0.48487975083145518</v>
      </c>
      <c r="F119" s="72">
        <f t="shared" si="32"/>
        <v>0.47867068848523764</v>
      </c>
      <c r="G119" s="72">
        <f t="shared" si="32"/>
        <v>0.47242870068474879</v>
      </c>
      <c r="H119" s="72">
        <f t="shared" si="32"/>
        <v>0.46615434042579951</v>
      </c>
      <c r="I119" s="72">
        <f t="shared" si="32"/>
        <v>0.45984816124502331</v>
      </c>
      <c r="J119" s="72">
        <f t="shared" si="32"/>
        <v>0.49297065389421457</v>
      </c>
      <c r="K119" s="72">
        <f t="shared" si="32"/>
        <v>0.4906322747466374</v>
      </c>
      <c r="L119" s="72">
        <f t="shared" si="32"/>
        <v>0.48828243295617968</v>
      </c>
      <c r="M119" s="72">
        <f t="shared" si="32"/>
        <v>0.48592107233341603</v>
      </c>
      <c r="N119" s="72">
        <f t="shared" si="32"/>
        <v>0.48354813641348171</v>
      </c>
      <c r="O119" s="72">
        <f t="shared" si="32"/>
        <v>0.48116356845472424</v>
      </c>
      <c r="P119" s="72">
        <f t="shared" si="32"/>
        <v>0.47876731143734552</v>
      </c>
      <c r="Q119" s="72">
        <f t="shared" si="32"/>
        <v>0.47635930806203836</v>
      </c>
      <c r="R119" s="72">
        <f t="shared" si="32"/>
        <v>0.47393950074861702</v>
      </c>
      <c r="S119" s="72">
        <f t="shared" si="32"/>
        <v>0.47150783163463972</v>
      </c>
      <c r="T119" s="72">
        <f t="shared" si="32"/>
        <v>0.46906424257402518</v>
      </c>
      <c r="U119" s="72">
        <f t="shared" si="32"/>
        <v>0.46660867513566251</v>
      </c>
      <c r="V119" s="72">
        <f t="shared" si="32"/>
        <v>0</v>
      </c>
    </row>
    <row r="120" spans="1:22" ht="15" customHeight="1" x14ac:dyDescent="0.2">
      <c r="A120" s="5" t="s">
        <v>818</v>
      </c>
      <c r="B120" s="72">
        <f t="shared" ref="B120:V120" si="33">IF(B8&lt;&gt;0,B34/B8,0)</f>
        <v>0</v>
      </c>
      <c r="C120" s="72">
        <f t="shared" si="33"/>
        <v>0</v>
      </c>
      <c r="D120" s="72">
        <f t="shared" si="33"/>
        <v>0</v>
      </c>
      <c r="E120" s="72">
        <f t="shared" si="33"/>
        <v>0.14494805880423814</v>
      </c>
      <c r="F120" s="72">
        <f t="shared" si="33"/>
        <v>0.20885289260983353</v>
      </c>
      <c r="G120" s="72">
        <f t="shared" si="33"/>
        <v>0.22945452954384399</v>
      </c>
      <c r="H120" s="72">
        <f t="shared" si="33"/>
        <v>0.23915234298796387</v>
      </c>
      <c r="I120" s="72">
        <f t="shared" si="33"/>
        <v>0.23987640120641965</v>
      </c>
      <c r="J120" s="72">
        <f t="shared" si="33"/>
        <v>0.27544503431336564</v>
      </c>
      <c r="K120" s="72">
        <f t="shared" si="33"/>
        <v>0.27895227147289803</v>
      </c>
      <c r="L120" s="72">
        <f t="shared" si="33"/>
        <v>0.28226535931876129</v>
      </c>
      <c r="M120" s="72">
        <f t="shared" si="33"/>
        <v>0.2853894885080146</v>
      </c>
      <c r="N120" s="72">
        <f t="shared" si="33"/>
        <v>0.28637048472826054</v>
      </c>
      <c r="O120" s="72">
        <f t="shared" si="33"/>
        <v>0.28532852238938078</v>
      </c>
      <c r="P120" s="72">
        <f t="shared" si="33"/>
        <v>0.28426228003537002</v>
      </c>
      <c r="Q120" s="72">
        <f t="shared" si="33"/>
        <v>0.2831720145751071</v>
      </c>
      <c r="R120" s="72">
        <f t="shared" si="33"/>
        <v>0.28205797680567996</v>
      </c>
      <c r="S120" s="72">
        <f t="shared" si="33"/>
        <v>0.28092041152695818</v>
      </c>
      <c r="T120" s="72">
        <f t="shared" si="33"/>
        <v>0.27975955765389282</v>
      </c>
      <c r="U120" s="72">
        <f t="shared" si="33"/>
        <v>0.24708712573526789</v>
      </c>
      <c r="V120" s="72">
        <f t="shared" si="33"/>
        <v>0</v>
      </c>
    </row>
    <row r="121" spans="1:22" ht="15" customHeight="1" x14ac:dyDescent="0.2">
      <c r="A121" s="5" t="s">
        <v>819</v>
      </c>
      <c r="B121" s="72">
        <f t="shared" ref="B121:V121" si="34">IF(B64&lt;&gt;0,B34/B64,0)</f>
        <v>0</v>
      </c>
      <c r="C121" s="72">
        <f t="shared" si="34"/>
        <v>0</v>
      </c>
      <c r="D121" s="72">
        <f t="shared" si="34"/>
        <v>0</v>
      </c>
      <c r="E121" s="72">
        <f t="shared" si="34"/>
        <v>0.15002802374473634</v>
      </c>
      <c r="F121" s="72">
        <f t="shared" si="34"/>
        <v>0.24708153085383219</v>
      </c>
      <c r="G121" s="72">
        <f t="shared" si="34"/>
        <v>0.24795064008875006</v>
      </c>
      <c r="H121" s="72">
        <f t="shared" si="34"/>
        <v>0.22520145452056264</v>
      </c>
      <c r="I121" s="72">
        <f t="shared" si="34"/>
        <v>0.18611070099221941</v>
      </c>
      <c r="J121" s="72">
        <f t="shared" si="34"/>
        <v>0.18979752963599453</v>
      </c>
      <c r="K121" s="72">
        <f t="shared" si="34"/>
        <v>0.16392049586594268</v>
      </c>
      <c r="L121" s="72">
        <f t="shared" si="34"/>
        <v>0.14470314977112225</v>
      </c>
      <c r="M121" s="72">
        <f t="shared" si="34"/>
        <v>0.12985278819055956</v>
      </c>
      <c r="N121" s="72">
        <f t="shared" si="34"/>
        <v>0.11731355363864181</v>
      </c>
      <c r="O121" s="72">
        <f t="shared" si="34"/>
        <v>0.10652415786781552</v>
      </c>
      <c r="P121" s="72">
        <f t="shared" si="34"/>
        <v>9.7675385458133201E-2</v>
      </c>
      <c r="Q121" s="72">
        <f t="shared" si="34"/>
        <v>9.0286163895529944E-2</v>
      </c>
      <c r="R121" s="72">
        <f t="shared" si="34"/>
        <v>8.4022258118354634E-2</v>
      </c>
      <c r="S121" s="72">
        <f t="shared" si="34"/>
        <v>7.8644217613353037E-2</v>
      </c>
      <c r="T121" s="72">
        <f t="shared" si="34"/>
        <v>7.3976000408365938E-2</v>
      </c>
      <c r="U121" s="72">
        <f t="shared" si="34"/>
        <v>6.2479423268881118E-2</v>
      </c>
      <c r="V121" s="72">
        <f t="shared" si="34"/>
        <v>0</v>
      </c>
    </row>
    <row r="122" spans="1:22" ht="15" customHeight="1" x14ac:dyDescent="0.2">
      <c r="A122" s="5" t="s">
        <v>820</v>
      </c>
      <c r="B122" s="72">
        <f t="shared" ref="B122:V122" si="35">IF(B59&lt;&gt;0,B34/B59,0)</f>
        <v>0</v>
      </c>
      <c r="C122" s="72">
        <f t="shared" si="35"/>
        <v>0</v>
      </c>
      <c r="D122" s="72">
        <f t="shared" si="35"/>
        <v>0</v>
      </c>
      <c r="E122" s="72">
        <f t="shared" si="35"/>
        <v>5.8795288275420507E-2</v>
      </c>
      <c r="F122" s="72">
        <f t="shared" si="35"/>
        <v>0.11786125827522402</v>
      </c>
      <c r="G122" s="72">
        <f t="shared" si="35"/>
        <v>0.14345254550418804</v>
      </c>
      <c r="H122" s="72">
        <f t="shared" si="35"/>
        <v>0.14996208719753584</v>
      </c>
      <c r="I122" s="72">
        <f t="shared" si="35"/>
        <v>0.13805398706131747</v>
      </c>
      <c r="J122" s="72">
        <f t="shared" si="35"/>
        <v>0.15389790019495994</v>
      </c>
      <c r="K122" s="72">
        <f t="shared" si="35"/>
        <v>0.14200819604869078</v>
      </c>
      <c r="L122" s="72">
        <f t="shared" si="35"/>
        <v>0.13188688209917523</v>
      </c>
      <c r="M122" s="72">
        <f t="shared" si="35"/>
        <v>0.1231637740027581</v>
      </c>
      <c r="N122" s="72">
        <f t="shared" si="35"/>
        <v>0.1118190887657854</v>
      </c>
      <c r="O122" s="72">
        <f t="shared" si="35"/>
        <v>0.10193695660040429</v>
      </c>
      <c r="P122" s="72">
        <f t="shared" si="35"/>
        <v>9.3772564783164369E-2</v>
      </c>
      <c r="Q122" s="72">
        <f t="shared" si="35"/>
        <v>8.6913158763251966E-2</v>
      </c>
      <c r="R122" s="72">
        <f t="shared" si="35"/>
        <v>8.1068385403505472E-2</v>
      </c>
      <c r="S122" s="72">
        <f t="shared" si="35"/>
        <v>7.6028051330442908E-2</v>
      </c>
      <c r="T122" s="72">
        <f t="shared" si="35"/>
        <v>7.163624528199071E-2</v>
      </c>
      <c r="U122" s="72">
        <f t="shared" si="35"/>
        <v>6.0578091718361725E-2</v>
      </c>
      <c r="V122" s="72">
        <f t="shared" si="35"/>
        <v>0</v>
      </c>
    </row>
    <row r="123" spans="1:22" ht="15" customHeight="1" x14ac:dyDescent="0.2">
      <c r="A123" s="5" t="s">
        <v>821</v>
      </c>
      <c r="B123" s="102">
        <f>IF(B64&lt;&gt;0,'Debt Schedule'!B14/B64,0)</f>
        <v>1.8571428571428572</v>
      </c>
      <c r="C123" s="102">
        <f>IF(C64&lt;&gt;0,'Debt Schedule'!C14/C64,0)</f>
        <v>1.8571428571428572</v>
      </c>
      <c r="D123" s="102">
        <f>IF(D64&lt;&gt;0,'Debt Schedule'!D14/D64,0)</f>
        <v>1.8571428571428572</v>
      </c>
      <c r="E123" s="102">
        <f>IF(E64&lt;&gt;0,'Debt Schedule'!E14/E64,0)</f>
        <v>1.4031283417547207</v>
      </c>
      <c r="F123" s="102">
        <f>IF(F64&lt;&gt;0,'Debt Schedule'!F14/F64,0)</f>
        <v>0.92438608770336961</v>
      </c>
      <c r="G123" s="102">
        <f>IF(G64&lt;&gt;0,'Debt Schedule'!G14/G64,0)</f>
        <v>0.59587197048701457</v>
      </c>
      <c r="H123" s="102">
        <f>IF(H64&lt;&gt;0,'Debt Schedule'!H14/H64,0)</f>
        <v>0.38473394668775424</v>
      </c>
      <c r="I123" s="102">
        <f>IF(I64&lt;&gt;0,'Debt Schedule'!I14/I64,0)</f>
        <v>0.25050467373935453</v>
      </c>
      <c r="J123" s="102">
        <f>IF(J64&lt;&gt;0,'Debt Schedule'!J14/J64,0)</f>
        <v>0.15221962912601564</v>
      </c>
      <c r="K123" s="102">
        <f>IF(K64&lt;&gt;0,'Debt Schedule'!K14/K64,0)</f>
        <v>8.4845141359432844E-2</v>
      </c>
      <c r="L123" s="102">
        <f>IF(L64&lt;&gt;0,'Debt Schedule'!L14/L64,0)</f>
        <v>3.6283891080973386E-2</v>
      </c>
      <c r="M123" s="102">
        <f>IF(M64&lt;&gt;0,'Debt Schedule'!M14/M64,0)</f>
        <v>0</v>
      </c>
      <c r="N123" s="102">
        <f>IF(N64&lt;&gt;0,'Debt Schedule'!N14/N64,0)</f>
        <v>0</v>
      </c>
      <c r="O123" s="102">
        <f>IF(O64&lt;&gt;0,'Debt Schedule'!O14/O64,0)</f>
        <v>0</v>
      </c>
      <c r="P123" s="102">
        <f>IF(P64&lt;&gt;0,'Debt Schedule'!P14/P64,0)</f>
        <v>0</v>
      </c>
      <c r="Q123" s="102">
        <f>IF(Q64&lt;&gt;0,'Debt Schedule'!Q14/Q64,0)</f>
        <v>0</v>
      </c>
      <c r="R123" s="102">
        <f>IF(R64&lt;&gt;0,'Debt Schedule'!R14/R64,0)</f>
        <v>0</v>
      </c>
      <c r="S123" s="102">
        <f>IF(S64&lt;&gt;0,'Debt Schedule'!S14/S64,0)</f>
        <v>0</v>
      </c>
      <c r="T123" s="102">
        <f>IF(T64&lt;&gt;0,'Debt Schedule'!T14/T64,0)</f>
        <v>0</v>
      </c>
      <c r="U123" s="102">
        <f>IF(U64&lt;&gt;0,'Debt Schedule'!U14/U64,0)</f>
        <v>0</v>
      </c>
      <c r="V123" s="102">
        <f>IF(V64&lt;&gt;0,'Debt Schedule'!V14/V64,0)</f>
        <v>0</v>
      </c>
    </row>
    <row r="124" spans="1:22" ht="15" customHeight="1" x14ac:dyDescent="0.2">
      <c r="A124" s="5" t="s">
        <v>822</v>
      </c>
      <c r="B124" s="103">
        <f>IF(B38&lt;&gt;0,('Debt Schedule'!B14-B56)/B38,0)</f>
        <v>0</v>
      </c>
      <c r="C124" s="103">
        <f>IF(C38&lt;&gt;0,('Debt Schedule'!C14-C56)/C38,0)</f>
        <v>0</v>
      </c>
      <c r="D124" s="103">
        <f>IF(D38&lt;&gt;0,('Debt Schedule'!D14-D56)/D38,0)</f>
        <v>0</v>
      </c>
      <c r="E124" s="103">
        <f>IF(E38&lt;&gt;0,('Debt Schedule'!E14-E56)/E38,0)</f>
        <v>3.0497273342506608</v>
      </c>
      <c r="F124" s="103">
        <f>IF(F38&lt;&gt;0,('Debt Schedule'!F14-F56)/F38,0)</f>
        <v>1.578966542272731</v>
      </c>
      <c r="G124" s="103">
        <f>IF(G38&lt;&gt;0,('Debt Schedule'!G14-G56)/G38,0)</f>
        <v>0.67935150309792458</v>
      </c>
      <c r="H124" s="103">
        <f>IF(H38&lt;&gt;0,('Debt Schedule'!H14-H56)/H38,0)</f>
        <v>4.8320006613741138E-3</v>
      </c>
      <c r="I124" s="103">
        <f>IF(I38&lt;&gt;0,('Debt Schedule'!I14-I56)/I38,0)</f>
        <v>-0.65318603512106943</v>
      </c>
      <c r="J124" s="103">
        <f>IF(J38&lt;&gt;0,('Debt Schedule'!J14-J56)/J38,0)</f>
        <v>-1.2071692499530358</v>
      </c>
      <c r="K124" s="103">
        <f>IF(K38&lt;&gt;0,('Debt Schedule'!K14-K56)/K38,0)</f>
        <v>-1.8692338602665981</v>
      </c>
      <c r="L124" s="103">
        <f>IF(L38&lt;&gt;0,('Debt Schedule'!L14-L56)/L38,0)</f>
        <v>-2.5291810897234197</v>
      </c>
      <c r="M124" s="103">
        <f>IF(M38&lt;&gt;0,('Debt Schedule'!M14-M56)/M38,0)</f>
        <v>-3.1868527250606422</v>
      </c>
      <c r="N124" s="103">
        <f>IF(N38&lt;&gt;0,('Debt Schedule'!N14-N56)/N38,0)</f>
        <v>-3.8380486526991167</v>
      </c>
      <c r="O124" s="103">
        <f>IF(O38&lt;&gt;0,('Debt Schedule'!O14-O56)/O38,0)</f>
        <v>-4.4788173768876725</v>
      </c>
      <c r="P124" s="103">
        <f>IF(P38&lt;&gt;0,('Debt Schedule'!P14-P56)/P38,0)</f>
        <v>-5.109378319204577</v>
      </c>
      <c r="Q124" s="103">
        <f>IF(Q38&lt;&gt;0,('Debt Schedule'!Q14-Q56)/Q38,0)</f>
        <v>-5.7299473104518892</v>
      </c>
      <c r="R124" s="103">
        <f>IF(R38&lt;&gt;0,('Debt Schedule'!R14-R56)/R38,0)</f>
        <v>-6.3407366813047243</v>
      </c>
      <c r="S124" s="103">
        <f>IF(S38&lt;&gt;0,('Debt Schedule'!S14-S56)/S38,0)</f>
        <v>-6.9419553520416191</v>
      </c>
      <c r="T124" s="103">
        <f>IF(T38&lt;&gt;0,('Debt Schedule'!T14-T56)/T38,0)</f>
        <v>-7.5338089214168589</v>
      </c>
      <c r="U124" s="103">
        <f>IF(U38&lt;&gt;0,('Debt Schedule'!U14-U56)/U38,0)</f>
        <v>-8.0490159631375509</v>
      </c>
      <c r="V124" s="103">
        <f>IF(V38&lt;&gt;0,('Debt Schedule'!V14-V56)/V38,0)</f>
        <v>0</v>
      </c>
    </row>
    <row r="125" spans="1:22" ht="15" customHeight="1" x14ac:dyDescent="0.2">
      <c r="A125" s="5" t="s">
        <v>823</v>
      </c>
      <c r="B125" s="103">
        <f t="shared" ref="B125:V125" si="36">IF(B28&lt;&gt;0,B24/B28,0)</f>
        <v>0</v>
      </c>
      <c r="C125" s="103">
        <f t="shared" si="36"/>
        <v>0</v>
      </c>
      <c r="D125" s="103">
        <f t="shared" si="36"/>
        <v>0</v>
      </c>
      <c r="E125" s="103">
        <f t="shared" si="36"/>
        <v>-2.747123355385229</v>
      </c>
      <c r="F125" s="103">
        <f t="shared" si="36"/>
        <v>-5.3311295679060082</v>
      </c>
      <c r="G125" s="103">
        <f t="shared" si="36"/>
        <v>-7.6684928087699324</v>
      </c>
      <c r="H125" s="103">
        <f t="shared" si="36"/>
        <v>-10.238373469097192</v>
      </c>
      <c r="I125" s="103">
        <f t="shared" si="36"/>
        <v>-12.465170194804736</v>
      </c>
      <c r="J125" s="103">
        <f t="shared" si="36"/>
        <v>-19.554558415048223</v>
      </c>
      <c r="K125" s="103">
        <f t="shared" si="36"/>
        <v>-27.833281402041461</v>
      </c>
      <c r="L125" s="103">
        <f t="shared" si="36"/>
        <v>-47.158361859956102</v>
      </c>
      <c r="M125" s="103">
        <f t="shared" si="36"/>
        <v>-143.80789048618394</v>
      </c>
      <c r="N125" s="103">
        <f t="shared" si="36"/>
        <v>0</v>
      </c>
      <c r="O125" s="103">
        <f t="shared" si="36"/>
        <v>0</v>
      </c>
      <c r="P125" s="103">
        <f t="shared" si="36"/>
        <v>0</v>
      </c>
      <c r="Q125" s="103">
        <f t="shared" si="36"/>
        <v>0</v>
      </c>
      <c r="R125" s="103">
        <f t="shared" si="36"/>
        <v>0</v>
      </c>
      <c r="S125" s="103">
        <f t="shared" si="36"/>
        <v>0</v>
      </c>
      <c r="T125" s="103">
        <f t="shared" si="36"/>
        <v>0</v>
      </c>
      <c r="U125" s="103">
        <f t="shared" si="36"/>
        <v>0</v>
      </c>
      <c r="V125" s="103">
        <f t="shared" si="36"/>
        <v>0</v>
      </c>
    </row>
    <row r="126" spans="1:22" ht="15" customHeight="1" x14ac:dyDescent="0.2">
      <c r="A126" s="5" t="s">
        <v>824</v>
      </c>
      <c r="B126" s="103">
        <f t="shared" ref="B126:V126" si="37">IF(B73&lt;&gt;0,B57/B73,0)</f>
        <v>0</v>
      </c>
      <c r="C126" s="103">
        <f t="shared" si="37"/>
        <v>0</v>
      </c>
      <c r="D126" s="103">
        <f t="shared" si="37"/>
        <v>0</v>
      </c>
      <c r="E126" s="103">
        <f t="shared" si="37"/>
        <v>0.82127150709676056</v>
      </c>
      <c r="F126" s="103">
        <f t="shared" si="37"/>
        <v>1.5886867958498798</v>
      </c>
      <c r="G126" s="103">
        <f t="shared" si="37"/>
        <v>2.5702816262605643</v>
      </c>
      <c r="H126" s="103">
        <f t="shared" si="37"/>
        <v>3.5423741858477356</v>
      </c>
      <c r="I126" s="103">
        <f t="shared" si="37"/>
        <v>4.5936656800982849</v>
      </c>
      <c r="J126" s="103">
        <f t="shared" si="37"/>
        <v>5.9084926553135624</v>
      </c>
      <c r="K126" s="103">
        <f t="shared" si="37"/>
        <v>7.2289622393547512</v>
      </c>
      <c r="L126" s="103">
        <f t="shared" si="37"/>
        <v>8.5535727043297385</v>
      </c>
      <c r="M126" s="103">
        <f t="shared" si="37"/>
        <v>15.624951111408826</v>
      </c>
      <c r="N126" s="103">
        <f t="shared" si="37"/>
        <v>18.117657610657098</v>
      </c>
      <c r="O126" s="103">
        <f t="shared" si="37"/>
        <v>20.518008910681836</v>
      </c>
      <c r="P126" s="103">
        <f t="shared" si="37"/>
        <v>22.82847307135577</v>
      </c>
      <c r="Q126" s="103">
        <f t="shared" si="37"/>
        <v>25.051455403434758</v>
      </c>
      <c r="R126" s="103">
        <f t="shared" si="37"/>
        <v>27.189300048093546</v>
      </c>
      <c r="S126" s="103">
        <f t="shared" si="37"/>
        <v>29.244291516803848</v>
      </c>
      <c r="T126" s="103">
        <f t="shared" si="37"/>
        <v>31.218656192549197</v>
      </c>
      <c r="U126" s="103">
        <f t="shared" si="37"/>
        <v>32.860877552794015</v>
      </c>
      <c r="V126" s="103">
        <f t="shared" si="37"/>
        <v>0</v>
      </c>
    </row>
  </sheetData>
  <pageMargins left="0.75" right="0.75" top="1" bottom="1" header="0.511811023622047" footer="0.511811023622047"/>
  <pageSetup paperSize="9" orientation="portrait" horizontalDpi="300" verticalDpi="3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ED7D31"/>
  </sheetPr>
  <dimension ref="A1:V75"/>
  <sheetViews>
    <sheetView zoomScaleNormal="100" workbookViewId="0"/>
  </sheetViews>
  <sheetFormatPr baseColWidth="10" defaultColWidth="8.6640625" defaultRowHeight="15" x14ac:dyDescent="0.2"/>
  <cols>
    <col min="1" max="1" width="42" customWidth="1"/>
    <col min="2" max="6" width="18" customWidth="1"/>
  </cols>
  <sheetData>
    <row r="1" spans="1:22" ht="17.25" customHeight="1" x14ac:dyDescent="0.2">
      <c r="A1" s="2" t="s">
        <v>825</v>
      </c>
    </row>
    <row r="3" spans="1:22" ht="15" customHeight="1" x14ac:dyDescent="0.2">
      <c r="A3" s="3" t="s">
        <v>826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spans="1:22" ht="15" customHeight="1" x14ac:dyDescent="0.2">
      <c r="A4" s="5" t="s">
        <v>11</v>
      </c>
      <c r="B4" s="104" t="str">
        <f>Assumptions!B13</f>
        <v>PGMs</v>
      </c>
    </row>
    <row r="5" spans="1:22" ht="15" customHeight="1" x14ac:dyDescent="0.2">
      <c r="A5" s="5" t="s">
        <v>14</v>
      </c>
      <c r="B5" s="104" t="str">
        <f>Assumptions!B14</f>
        <v>Platinum</v>
      </c>
    </row>
    <row r="6" spans="1:22" ht="15" customHeight="1" x14ac:dyDescent="0.2">
      <c r="A6" s="5" t="s">
        <v>33</v>
      </c>
      <c r="B6" s="104" t="str">
        <f>Assumptions!B27</f>
        <v>Combined</v>
      </c>
    </row>
    <row r="7" spans="1:22" ht="15" customHeight="1" x14ac:dyDescent="0.2">
      <c r="A7" s="5" t="s">
        <v>56</v>
      </c>
      <c r="B7" s="104" t="str">
        <f>Assumptions!B43</f>
        <v>Concentration + Smelting</v>
      </c>
    </row>
    <row r="8" spans="1:22" ht="15" customHeight="1" x14ac:dyDescent="0.2">
      <c r="A8" s="5" t="s">
        <v>552</v>
      </c>
      <c r="B8" s="105">
        <f>'Resources &amp; Reserves'!B17</f>
        <v>51</v>
      </c>
    </row>
    <row r="9" spans="1:22" ht="15" customHeight="1" x14ac:dyDescent="0.2">
      <c r="A9" s="5" t="s">
        <v>827</v>
      </c>
      <c r="B9" s="106">
        <f>Assumptions!B6</f>
        <v>17</v>
      </c>
    </row>
    <row r="10" spans="1:22" ht="15" customHeight="1" x14ac:dyDescent="0.2">
      <c r="A10" s="5" t="s">
        <v>90</v>
      </c>
      <c r="B10" s="107">
        <f>Assumptions!B73</f>
        <v>750</v>
      </c>
    </row>
    <row r="12" spans="1:22" ht="15" customHeight="1" x14ac:dyDescent="0.2">
      <c r="A12" s="3" t="s">
        <v>828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</row>
    <row r="13" spans="1:22" ht="15" customHeight="1" x14ac:dyDescent="0.2">
      <c r="A13" s="39" t="s">
        <v>829</v>
      </c>
      <c r="B13" s="39" t="s">
        <v>830</v>
      </c>
      <c r="C13" s="39" t="s">
        <v>831</v>
      </c>
    </row>
    <row r="14" spans="1:22" ht="15" customHeight="1" x14ac:dyDescent="0.2">
      <c r="A14" s="35" t="s">
        <v>832</v>
      </c>
      <c r="B14" s="107">
        <f>'Project Cash Flow'!B52</f>
        <v>745.24434436740285</v>
      </c>
      <c r="C14" s="107">
        <f>'Equity Cash Flow'!B21</f>
        <v>500.63309840657496</v>
      </c>
    </row>
    <row r="15" spans="1:22" ht="15" customHeight="1" x14ac:dyDescent="0.2">
      <c r="A15" s="35" t="s">
        <v>833</v>
      </c>
      <c r="B15" s="108">
        <f>'Project Cash Flow'!B53</f>
        <v>0.19789545291325461</v>
      </c>
      <c r="C15" s="108">
        <f>'Equity Cash Flow'!B22</f>
        <v>0.29194574160172304</v>
      </c>
    </row>
    <row r="16" spans="1:22" ht="15" customHeight="1" x14ac:dyDescent="0.2">
      <c r="A16" s="35" t="s">
        <v>834</v>
      </c>
      <c r="B16" s="106">
        <f>'Project Cash Flow'!B54</f>
        <v>7</v>
      </c>
      <c r="C16" s="106">
        <f>'Equity Cash Flow'!B23</f>
        <v>6</v>
      </c>
    </row>
    <row r="17" spans="1:22" ht="15" customHeight="1" x14ac:dyDescent="0.2">
      <c r="A17" s="35" t="s">
        <v>835</v>
      </c>
      <c r="B17" s="108">
        <f>Assumptions!B7</f>
        <v>0.1</v>
      </c>
      <c r="C17" s="108">
        <f>Assumptions!B8</f>
        <v>0.14000000000000001</v>
      </c>
    </row>
    <row r="19" spans="1:22" ht="15" customHeight="1" x14ac:dyDescent="0.2">
      <c r="A19" s="3" t="s">
        <v>836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</row>
    <row r="20" spans="1:22" ht="15" customHeight="1" x14ac:dyDescent="0.2">
      <c r="A20" s="39" t="s">
        <v>829</v>
      </c>
      <c r="B20" s="39" t="s">
        <v>423</v>
      </c>
      <c r="C20" s="39" t="s">
        <v>837</v>
      </c>
    </row>
    <row r="21" spans="1:22" ht="15" customHeight="1" x14ac:dyDescent="0.2">
      <c r="A21" s="5" t="s">
        <v>838</v>
      </c>
      <c r="B21" s="107">
        <f>'Debt Schedule'!B7</f>
        <v>487.5</v>
      </c>
    </row>
    <row r="22" spans="1:22" ht="15" customHeight="1" x14ac:dyDescent="0.2">
      <c r="A22" s="5" t="s">
        <v>839</v>
      </c>
      <c r="B22" s="107">
        <f>Assumptions!B73*(1-Assumptions!B84)</f>
        <v>262.5</v>
      </c>
    </row>
    <row r="23" spans="1:22" ht="15" customHeight="1" x14ac:dyDescent="0.2">
      <c r="A23" s="5" t="s">
        <v>840</v>
      </c>
      <c r="B23" s="109">
        <f>Assumptions!B84/(1-Assumptions!B84)</f>
        <v>1.8571428571428574</v>
      </c>
    </row>
    <row r="24" spans="1:22" ht="15" customHeight="1" x14ac:dyDescent="0.2">
      <c r="A24" s="5" t="s">
        <v>717</v>
      </c>
      <c r="B24" s="109">
        <f>'Debt Schedule'!B36</f>
        <v>0.45413598308728415</v>
      </c>
      <c r="C24" s="31">
        <f>Assumptions!B88</f>
        <v>1.2</v>
      </c>
    </row>
    <row r="25" spans="1:22" ht="15" customHeight="1" x14ac:dyDescent="0.2">
      <c r="A25" s="5" t="s">
        <v>718</v>
      </c>
      <c r="B25" s="109">
        <f>'Debt Schedule'!B37</f>
        <v>2.9423488571166327</v>
      </c>
    </row>
    <row r="26" spans="1:22" ht="15" customHeight="1" x14ac:dyDescent="0.2">
      <c r="A26" s="5" t="s">
        <v>719</v>
      </c>
      <c r="B26" s="109">
        <f>'Debt Schedule'!B38</f>
        <v>2.9533258585348379</v>
      </c>
    </row>
    <row r="27" spans="1:22" ht="15" customHeight="1" x14ac:dyDescent="0.2">
      <c r="A27" s="5" t="s">
        <v>720</v>
      </c>
      <c r="B27" s="109">
        <f>'Debt Schedule'!B39</f>
        <v>5.2001607453380432</v>
      </c>
    </row>
    <row r="29" spans="1:22" ht="15" customHeight="1" x14ac:dyDescent="0.2">
      <c r="A29" s="25" t="s">
        <v>841</v>
      </c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</row>
    <row r="30" spans="1:22" ht="15" customHeight="1" x14ac:dyDescent="0.2">
      <c r="A30" s="5" t="s">
        <v>552</v>
      </c>
      <c r="B30" s="105">
        <f>'Resources &amp; Reserves'!B17</f>
        <v>51</v>
      </c>
    </row>
    <row r="31" spans="1:22" ht="15" customHeight="1" x14ac:dyDescent="0.2">
      <c r="A31" s="5" t="s">
        <v>842</v>
      </c>
      <c r="B31" s="105">
        <f>'Resource Depletion'!V22</f>
        <v>48.45</v>
      </c>
    </row>
    <row r="32" spans="1:22" ht="15" customHeight="1" x14ac:dyDescent="0.2">
      <c r="A32" s="5" t="s">
        <v>843</v>
      </c>
      <c r="B32" s="108">
        <f>IF(B30&gt;0,B31/B30,0)</f>
        <v>0.95000000000000007</v>
      </c>
    </row>
    <row r="33" spans="1:22" ht="15" customHeight="1" x14ac:dyDescent="0.2">
      <c r="A33" s="5" t="s">
        <v>553</v>
      </c>
      <c r="B33" s="105">
        <f>'Resource Depletion'!V24</f>
        <v>2.5499999999999972</v>
      </c>
    </row>
    <row r="35" spans="1:22" ht="15" customHeight="1" x14ac:dyDescent="0.2">
      <c r="A35" s="19" t="s">
        <v>844</v>
      </c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</row>
    <row r="36" spans="1:22" ht="15" customHeight="1" x14ac:dyDescent="0.2">
      <c r="A36" s="39" t="s">
        <v>845</v>
      </c>
      <c r="B36" s="39" t="s">
        <v>846</v>
      </c>
      <c r="C36" s="39"/>
      <c r="D36" s="39" t="s">
        <v>847</v>
      </c>
    </row>
    <row r="37" spans="1:22" ht="15" customHeight="1" x14ac:dyDescent="0.2">
      <c r="A37" s="5" t="s">
        <v>848</v>
      </c>
      <c r="B37" s="110">
        <f>'Project Cash Flow'!B52</f>
        <v>745.24434436740285</v>
      </c>
      <c r="D37" s="12" t="s">
        <v>849</v>
      </c>
    </row>
    <row r="38" spans="1:22" ht="15" customHeight="1" x14ac:dyDescent="0.2">
      <c r="A38" s="5" t="s">
        <v>850</v>
      </c>
      <c r="B38" s="110">
        <f>NPV(Assumptions!B7,'Equity Cash Flow'!C16:V16)+'Equity Cash Flow'!B16</f>
        <v>29.611600479879804</v>
      </c>
      <c r="D38" s="12" t="s">
        <v>851</v>
      </c>
    </row>
    <row r="39" spans="1:22" ht="15" customHeight="1" x14ac:dyDescent="0.2">
      <c r="A39" s="5" t="s">
        <v>852</v>
      </c>
      <c r="B39" s="110">
        <f>NPV(Assumptions!B7,'Equity Cash Flow'!C13:V13)+NPV(Assumptions!B7,'Equity Cash Flow'!C14:V14)+NPV(Assumptions!B7,'Equity Cash Flow'!C15:V15)+'Equity Cash Flow'!B13+'Equity Cash Flow'!B14+'Equity Cash Flow'!B15</f>
        <v>82.841702693346193</v>
      </c>
      <c r="D39" s="12" t="s">
        <v>853</v>
      </c>
    </row>
    <row r="40" spans="1:22" ht="15" customHeight="1" x14ac:dyDescent="0.2">
      <c r="A40" s="5"/>
    </row>
    <row r="41" spans="1:22" ht="15" customHeight="1" x14ac:dyDescent="0.2">
      <c r="A41" s="35" t="s">
        <v>854</v>
      </c>
      <c r="B41" s="107">
        <f>B37+B38+B39</f>
        <v>857.69764754062885</v>
      </c>
      <c r="D41" s="12" t="s">
        <v>855</v>
      </c>
    </row>
    <row r="42" spans="1:22" ht="15" customHeight="1" x14ac:dyDescent="0.2">
      <c r="A42" s="35" t="s">
        <v>856</v>
      </c>
      <c r="B42" s="107">
        <f>'Equity Cash Flow'!B21</f>
        <v>500.63309840657496</v>
      </c>
      <c r="D42" s="12" t="s">
        <v>857</v>
      </c>
    </row>
    <row r="43" spans="1:22" ht="15" customHeight="1" x14ac:dyDescent="0.2">
      <c r="A43" s="35" t="s">
        <v>858</v>
      </c>
      <c r="B43" s="110">
        <f>B41-B42</f>
        <v>357.06454913405389</v>
      </c>
      <c r="D43" s="12" t="s">
        <v>859</v>
      </c>
    </row>
    <row r="45" spans="1:22" ht="15" customHeight="1" x14ac:dyDescent="0.2">
      <c r="A45" s="25" t="s">
        <v>860</v>
      </c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</row>
    <row r="46" spans="1:22" ht="15" customHeight="1" x14ac:dyDescent="0.2">
      <c r="A46" s="35" t="s">
        <v>861</v>
      </c>
      <c r="B46" s="1" t="str">
        <f>IF('Project Cash Flow'!B53&lt;'Equity Cash Flow'!B22,"YES — leverage amplifying returns","NO — check debt cost vs project return")</f>
        <v>YES — leverage amplifying returns</v>
      </c>
      <c r="C46" s="1"/>
      <c r="D46" s="1"/>
    </row>
    <row r="47" spans="1:22" ht="15" customHeight="1" x14ac:dyDescent="0.2">
      <c r="A47" s="35" t="s">
        <v>862</v>
      </c>
      <c r="B47" s="1" t="str">
        <f>IF(AND('Project Cash Flow'!B52&gt;0,'Equity Cash Flow'!B21&gt;0),"YES — project viable","CHECK assumptions")</f>
        <v>YES — project viable</v>
      </c>
      <c r="C47" s="1"/>
      <c r="D47" s="1"/>
    </row>
    <row r="48" spans="1:22" ht="15" customHeight="1" x14ac:dyDescent="0.2">
      <c r="A48" s="35" t="s">
        <v>863</v>
      </c>
      <c r="B48" s="1" t="str">
        <f>IF('Debt Schedule'!B36&gt;Assumptions!B88,"YES — adequate coverage","WARNING — lock-up risk")</f>
        <v>WARNING — lock-up risk</v>
      </c>
      <c r="C48" s="1"/>
      <c r="D48" s="1"/>
    </row>
    <row r="49" spans="1:22" ht="15" customHeight="1" x14ac:dyDescent="0.2">
      <c r="A49" s="35" t="s">
        <v>864</v>
      </c>
      <c r="B49" s="1" t="str">
        <f>IF('Resource Depletion'!V24&gt;=0,"YES — adequate reserves","WARNING — reserve shortfall")</f>
        <v>YES — adequate reserves</v>
      </c>
      <c r="C49" s="1"/>
      <c r="D49" s="1"/>
    </row>
    <row r="51" spans="1:22" ht="15" customHeight="1" x14ac:dyDescent="0.2">
      <c r="A51" s="9" t="s">
        <v>865</v>
      </c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</row>
    <row r="52" spans="1:22" ht="15" customHeight="1" x14ac:dyDescent="0.2">
      <c r="A52" s="5" t="s">
        <v>866</v>
      </c>
      <c r="B52" s="104" t="str">
        <f>Assumptions!B97</f>
        <v>Yes</v>
      </c>
    </row>
    <row r="53" spans="1:22" ht="15" customHeight="1" x14ac:dyDescent="0.2">
      <c r="A53" s="5" t="s">
        <v>867</v>
      </c>
      <c r="B53" s="106">
        <f>Assumptions!B98</f>
        <v>5</v>
      </c>
    </row>
    <row r="54" spans="1:22" ht="15" customHeight="1" x14ac:dyDescent="0.2">
      <c r="A54" s="5" t="s">
        <v>868</v>
      </c>
      <c r="B54" s="108">
        <f>Assumptions!B101</f>
        <v>0.5</v>
      </c>
    </row>
    <row r="55" spans="1:22" ht="15" customHeight="1" x14ac:dyDescent="0.2">
      <c r="A55" s="5" t="s">
        <v>869</v>
      </c>
      <c r="B55" s="111">
        <f>Assumptions!B102</f>
        <v>920</v>
      </c>
    </row>
    <row r="56" spans="1:22" ht="15" customHeight="1" x14ac:dyDescent="0.2">
      <c r="A56" s="5" t="s">
        <v>870</v>
      </c>
      <c r="B56" s="104" t="str">
        <f>Assumptions!B103</f>
        <v>Forward</v>
      </c>
    </row>
    <row r="57" spans="1:22" ht="15" customHeight="1" x14ac:dyDescent="0.2">
      <c r="A57" s="5" t="s">
        <v>871</v>
      </c>
      <c r="B57" s="107">
        <f>Hedging!V52</f>
        <v>-166.61038825232572</v>
      </c>
    </row>
    <row r="59" spans="1:22" ht="15" customHeight="1" x14ac:dyDescent="0.2">
      <c r="A59" s="33" t="s">
        <v>872</v>
      </c>
      <c r="B59" s="34"/>
      <c r="C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</row>
    <row r="60" spans="1:22" ht="15" customHeight="1" x14ac:dyDescent="0.2">
      <c r="A60" s="5" t="s">
        <v>152</v>
      </c>
      <c r="B60" s="106">
        <f>Assumptions!B133</f>
        <v>100</v>
      </c>
    </row>
    <row r="61" spans="1:22" ht="15" customHeight="1" x14ac:dyDescent="0.2">
      <c r="A61" s="5" t="s">
        <v>161</v>
      </c>
      <c r="B61" s="106">
        <f>Assumptions!B139</f>
        <v>80</v>
      </c>
    </row>
    <row r="62" spans="1:22" ht="15" customHeight="1" x14ac:dyDescent="0.2">
      <c r="A62" s="5" t="s">
        <v>169</v>
      </c>
      <c r="B62" s="106">
        <f>Assumptions!B145</f>
        <v>90</v>
      </c>
    </row>
    <row r="63" spans="1:22" ht="15" customHeight="1" x14ac:dyDescent="0.2">
      <c r="A63" s="5" t="s">
        <v>873</v>
      </c>
      <c r="B63" s="106">
        <f>Assumptions!B147</f>
        <v>90</v>
      </c>
    </row>
    <row r="64" spans="1:22" ht="15" customHeight="1" x14ac:dyDescent="0.2">
      <c r="A64" s="5" t="s">
        <v>874</v>
      </c>
      <c r="B64" s="107">
        <f>MAX('Working Capital'!B37:V37)</f>
        <v>181.96832067919564</v>
      </c>
    </row>
    <row r="65" spans="1:5" ht="15" customHeight="1" x14ac:dyDescent="0.2">
      <c r="A65" s="5" t="s">
        <v>875</v>
      </c>
      <c r="B65" s="108">
        <f>Assumptions!B152</f>
        <v>0.95</v>
      </c>
    </row>
    <row r="67" spans="1:5" ht="15" customHeight="1" x14ac:dyDescent="0.2">
      <c r="A67" s="15" t="s">
        <v>876</v>
      </c>
      <c r="B67" s="16"/>
      <c r="C67" s="16"/>
      <c r="D67" s="16"/>
      <c r="E67" s="16"/>
    </row>
    <row r="68" spans="1:5" ht="15" customHeight="1" x14ac:dyDescent="0.2">
      <c r="A68" s="5" t="s">
        <v>179</v>
      </c>
      <c r="B68" s="104" t="str">
        <f>Assumptions!B155</f>
        <v>g/t</v>
      </c>
    </row>
    <row r="69" spans="1:5" ht="15" customHeight="1" x14ac:dyDescent="0.2">
      <c r="A69" s="5" t="s">
        <v>182</v>
      </c>
      <c r="B69" s="104" t="str">
        <f>Assumptions!B156</f>
        <v>oz</v>
      </c>
    </row>
    <row r="70" spans="1:5" ht="15" customHeight="1" x14ac:dyDescent="0.2">
      <c r="A70" s="5" t="s">
        <v>185</v>
      </c>
      <c r="B70" s="104" t="str">
        <f>Assumptions!B157</f>
        <v>$/oz</v>
      </c>
    </row>
    <row r="71" spans="1:5" ht="15" customHeight="1" x14ac:dyDescent="0.2">
      <c r="A71" s="5" t="s">
        <v>216</v>
      </c>
      <c r="B71" s="112">
        <f>Assumptions!B160</f>
        <v>31.1035</v>
      </c>
    </row>
    <row r="72" spans="1:5" ht="15" customHeight="1" x14ac:dyDescent="0.2">
      <c r="A72" s="5" t="s">
        <v>195</v>
      </c>
      <c r="B72" s="104" t="str">
        <f>Assumptions!B164</f>
        <v>Platinum</v>
      </c>
    </row>
    <row r="73" spans="1:5" ht="15" customHeight="1" x14ac:dyDescent="0.2">
      <c r="A73" s="5" t="s">
        <v>196</v>
      </c>
      <c r="B73" s="104" t="str">
        <f>Assumptions!B165</f>
        <v>Palladium</v>
      </c>
    </row>
    <row r="74" spans="1:5" ht="15" customHeight="1" x14ac:dyDescent="0.2">
      <c r="A74" s="5" t="s">
        <v>197</v>
      </c>
      <c r="B74" s="104" t="str">
        <f>Assumptions!B166</f>
        <v>Rhodium</v>
      </c>
    </row>
    <row r="75" spans="1:5" ht="15" customHeight="1" x14ac:dyDescent="0.2">
      <c r="A75" s="5" t="s">
        <v>198</v>
      </c>
      <c r="B75" s="104" t="str">
        <f>Assumptions!B167</f>
        <v>Gold</v>
      </c>
    </row>
  </sheetData>
  <mergeCells count="4">
    <mergeCell ref="B46:D46"/>
    <mergeCell ref="B47:D47"/>
    <mergeCell ref="B48:D48"/>
    <mergeCell ref="B49:D49"/>
  </mergeCells>
  <pageMargins left="0.75" right="0.75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G190"/>
  <sheetViews>
    <sheetView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baseColWidth="10" defaultColWidth="8.6640625" defaultRowHeight="15" x14ac:dyDescent="0.2"/>
  <cols>
    <col min="1" max="1" width="42" customWidth="1"/>
    <col min="2" max="7" width="22" customWidth="1"/>
  </cols>
  <sheetData>
    <row r="1" spans="1:6" ht="17.25" customHeight="1" x14ac:dyDescent="0.2">
      <c r="A1" s="2" t="s">
        <v>199</v>
      </c>
    </row>
    <row r="2" spans="1:6" ht="15" customHeight="1" x14ac:dyDescent="0.2">
      <c r="A2" s="12" t="s">
        <v>200</v>
      </c>
    </row>
    <row r="4" spans="1:6" ht="15" customHeight="1" x14ac:dyDescent="0.2">
      <c r="A4" s="39" t="s">
        <v>201</v>
      </c>
      <c r="B4" s="39" t="s">
        <v>12</v>
      </c>
      <c r="C4" s="39" t="s">
        <v>202</v>
      </c>
      <c r="D4" s="39" t="s">
        <v>203</v>
      </c>
      <c r="E4" s="39" t="s">
        <v>204</v>
      </c>
      <c r="F4" s="39" t="s">
        <v>205</v>
      </c>
    </row>
    <row r="5" spans="1:6" ht="15" customHeight="1" x14ac:dyDescent="0.2">
      <c r="A5" s="35" t="s">
        <v>206</v>
      </c>
      <c r="B5" s="40"/>
      <c r="C5" s="41"/>
      <c r="D5" s="42"/>
      <c r="E5" s="43"/>
      <c r="F5" s="44"/>
    </row>
    <row r="6" spans="1:6" ht="15" customHeight="1" x14ac:dyDescent="0.2">
      <c r="A6" s="5" t="s">
        <v>207</v>
      </c>
      <c r="B6" s="45" t="s">
        <v>12</v>
      </c>
      <c r="C6" s="45" t="s">
        <v>202</v>
      </c>
      <c r="D6" s="45" t="s">
        <v>203</v>
      </c>
      <c r="E6" s="45" t="s">
        <v>208</v>
      </c>
      <c r="F6" s="45" t="s">
        <v>205</v>
      </c>
    </row>
    <row r="7" spans="1:6" ht="15" customHeight="1" x14ac:dyDescent="0.2">
      <c r="A7" s="5" t="s">
        <v>179</v>
      </c>
      <c r="B7" s="45" t="s">
        <v>180</v>
      </c>
      <c r="C7" s="45" t="s">
        <v>209</v>
      </c>
      <c r="D7" s="45" t="s">
        <v>210</v>
      </c>
      <c r="E7" s="45" t="s">
        <v>209</v>
      </c>
      <c r="F7" s="45" t="s">
        <v>180</v>
      </c>
    </row>
    <row r="8" spans="1:6" ht="15" customHeight="1" x14ac:dyDescent="0.2">
      <c r="A8" s="5" t="s">
        <v>182</v>
      </c>
      <c r="B8" s="45" t="s">
        <v>211</v>
      </c>
      <c r="C8" s="45" t="s">
        <v>212</v>
      </c>
      <c r="D8" s="45" t="s">
        <v>213</v>
      </c>
      <c r="E8" s="45" t="s">
        <v>212</v>
      </c>
      <c r="F8" s="45" t="s">
        <v>211</v>
      </c>
    </row>
    <row r="9" spans="1:6" ht="15" customHeight="1" x14ac:dyDescent="0.2">
      <c r="A9" s="5" t="s">
        <v>185</v>
      </c>
      <c r="B9" s="45" t="s">
        <v>186</v>
      </c>
      <c r="C9" s="45" t="s">
        <v>214</v>
      </c>
      <c r="D9" s="45" t="s">
        <v>215</v>
      </c>
      <c r="E9" s="45" t="s">
        <v>214</v>
      </c>
      <c r="F9" s="45" t="s">
        <v>186</v>
      </c>
    </row>
    <row r="10" spans="1:6" ht="15" customHeight="1" x14ac:dyDescent="0.2">
      <c r="A10" s="5" t="s">
        <v>216</v>
      </c>
      <c r="B10" s="46">
        <v>31.1035</v>
      </c>
      <c r="C10" s="46">
        <v>10</v>
      </c>
      <c r="D10" s="46">
        <v>0.01</v>
      </c>
      <c r="E10" s="46">
        <v>10</v>
      </c>
      <c r="F10" s="46">
        <v>31.1035</v>
      </c>
    </row>
    <row r="11" spans="1:6" ht="15" customHeight="1" x14ac:dyDescent="0.2">
      <c r="A11" s="5" t="s">
        <v>191</v>
      </c>
      <c r="B11" s="45" t="s">
        <v>192</v>
      </c>
      <c r="C11" s="45" t="s">
        <v>217</v>
      </c>
      <c r="D11" s="45" t="s">
        <v>217</v>
      </c>
      <c r="E11" s="45" t="s">
        <v>217</v>
      </c>
      <c r="F11" s="45" t="s">
        <v>192</v>
      </c>
    </row>
    <row r="12" spans="1:6" ht="15" customHeight="1" x14ac:dyDescent="0.2">
      <c r="A12" s="5"/>
      <c r="B12" s="45"/>
      <c r="C12" s="45"/>
      <c r="D12" s="45"/>
      <c r="E12" s="45"/>
      <c r="F12" s="45"/>
    </row>
    <row r="13" spans="1:6" ht="15" customHeight="1" x14ac:dyDescent="0.2">
      <c r="A13" s="35" t="s">
        <v>218</v>
      </c>
      <c r="B13" s="40"/>
      <c r="C13" s="41"/>
      <c r="D13" s="42"/>
      <c r="E13" s="43"/>
      <c r="F13" s="44"/>
    </row>
    <row r="14" spans="1:6" ht="15" customHeight="1" x14ac:dyDescent="0.2">
      <c r="A14" s="5" t="s">
        <v>14</v>
      </c>
      <c r="B14" s="45" t="s">
        <v>15</v>
      </c>
      <c r="C14" s="45" t="s">
        <v>219</v>
      </c>
      <c r="D14" s="45" t="s">
        <v>220</v>
      </c>
      <c r="E14" s="45" t="s">
        <v>221</v>
      </c>
      <c r="F14" s="45" t="s">
        <v>21</v>
      </c>
    </row>
    <row r="15" spans="1:6" ht="15" customHeight="1" x14ac:dyDescent="0.2">
      <c r="A15" s="5" t="s">
        <v>16</v>
      </c>
      <c r="B15" s="45" t="s">
        <v>17</v>
      </c>
      <c r="C15" s="45" t="s">
        <v>222</v>
      </c>
      <c r="D15" s="45" t="s">
        <v>223</v>
      </c>
      <c r="E15" s="45" t="s">
        <v>224</v>
      </c>
      <c r="F15" s="45" t="s">
        <v>225</v>
      </c>
    </row>
    <row r="16" spans="1:6" ht="15" customHeight="1" x14ac:dyDescent="0.2">
      <c r="A16" s="5" t="s">
        <v>18</v>
      </c>
      <c r="B16" s="45" t="s">
        <v>19</v>
      </c>
      <c r="C16" s="45" t="s">
        <v>226</v>
      </c>
      <c r="D16" s="45" t="s">
        <v>227</v>
      </c>
      <c r="E16" s="45" t="s">
        <v>228</v>
      </c>
      <c r="F16" s="45" t="s">
        <v>229</v>
      </c>
    </row>
    <row r="17" spans="1:6" ht="15" customHeight="1" x14ac:dyDescent="0.2">
      <c r="A17" s="5" t="s">
        <v>230</v>
      </c>
      <c r="B17" s="45" t="s">
        <v>21</v>
      </c>
      <c r="C17" s="45" t="s">
        <v>231</v>
      </c>
      <c r="D17" s="45" t="s">
        <v>232</v>
      </c>
      <c r="E17" s="45" t="s">
        <v>233</v>
      </c>
      <c r="F17" s="45" t="s">
        <v>234</v>
      </c>
    </row>
    <row r="18" spans="1:6" ht="15" customHeight="1" x14ac:dyDescent="0.2">
      <c r="A18" s="5"/>
      <c r="B18" s="45"/>
      <c r="C18" s="45"/>
      <c r="D18" s="45"/>
      <c r="E18" s="45"/>
      <c r="F18" s="45"/>
    </row>
    <row r="19" spans="1:6" ht="15" customHeight="1" x14ac:dyDescent="0.2">
      <c r="A19" s="35" t="s">
        <v>235</v>
      </c>
      <c r="B19" s="40"/>
      <c r="C19" s="41"/>
      <c r="D19" s="42"/>
      <c r="E19" s="43"/>
      <c r="F19" s="44"/>
    </row>
    <row r="20" spans="1:6" ht="15" customHeight="1" x14ac:dyDescent="0.2">
      <c r="A20" s="5" t="s">
        <v>236</v>
      </c>
      <c r="B20" s="45" t="s">
        <v>237</v>
      </c>
      <c r="C20" s="45" t="s">
        <v>238</v>
      </c>
      <c r="D20" s="45" t="s">
        <v>239</v>
      </c>
      <c r="E20" s="45" t="s">
        <v>240</v>
      </c>
      <c r="F20" s="45" t="s">
        <v>241</v>
      </c>
    </row>
    <row r="21" spans="1:6" ht="15" customHeight="1" x14ac:dyDescent="0.2">
      <c r="A21" s="5" t="s">
        <v>242</v>
      </c>
      <c r="B21" s="45" t="s">
        <v>243</v>
      </c>
      <c r="C21" s="45" t="s">
        <v>244</v>
      </c>
      <c r="D21" s="45" t="s">
        <v>245</v>
      </c>
      <c r="E21" s="45" t="s">
        <v>246</v>
      </c>
      <c r="F21" s="45" t="s">
        <v>247</v>
      </c>
    </row>
    <row r="22" spans="1:6" ht="15" customHeight="1" x14ac:dyDescent="0.2">
      <c r="A22" s="5" t="s">
        <v>248</v>
      </c>
      <c r="B22" s="45" t="s">
        <v>249</v>
      </c>
      <c r="C22" s="45" t="s">
        <v>250</v>
      </c>
      <c r="D22" s="45" t="s">
        <v>251</v>
      </c>
      <c r="E22" s="45" t="s">
        <v>252</v>
      </c>
      <c r="F22" s="45" t="s">
        <v>253</v>
      </c>
    </row>
    <row r="23" spans="1:6" ht="15" customHeight="1" x14ac:dyDescent="0.2">
      <c r="A23" s="5" t="s">
        <v>254</v>
      </c>
      <c r="B23" s="45" t="s">
        <v>255</v>
      </c>
      <c r="C23" s="45" t="s">
        <v>256</v>
      </c>
      <c r="D23" s="45" t="s">
        <v>257</v>
      </c>
      <c r="E23" s="45" t="s">
        <v>258</v>
      </c>
      <c r="F23" s="45" t="s">
        <v>259</v>
      </c>
    </row>
    <row r="24" spans="1:6" ht="15" customHeight="1" x14ac:dyDescent="0.2">
      <c r="A24" s="5"/>
      <c r="B24" s="45"/>
      <c r="C24" s="45"/>
      <c r="D24" s="45"/>
      <c r="E24" s="45"/>
      <c r="F24" s="45"/>
    </row>
    <row r="25" spans="1:6" ht="15" customHeight="1" x14ac:dyDescent="0.2">
      <c r="A25" s="35" t="s">
        <v>260</v>
      </c>
      <c r="B25" s="40"/>
      <c r="C25" s="41"/>
      <c r="D25" s="42"/>
      <c r="E25" s="43"/>
      <c r="F25" s="44"/>
    </row>
    <row r="26" spans="1:6" ht="15" customHeight="1" x14ac:dyDescent="0.2">
      <c r="A26" s="5" t="s">
        <v>261</v>
      </c>
      <c r="B26" s="45" t="s">
        <v>262</v>
      </c>
      <c r="C26" s="45" t="s">
        <v>263</v>
      </c>
      <c r="D26" s="45" t="s">
        <v>264</v>
      </c>
      <c r="E26" s="45" t="s">
        <v>265</v>
      </c>
      <c r="F26" s="45" t="s">
        <v>266</v>
      </c>
    </row>
    <row r="27" spans="1:6" ht="15" customHeight="1" x14ac:dyDescent="0.2">
      <c r="A27" s="5" t="s">
        <v>25</v>
      </c>
      <c r="B27" s="45" t="s">
        <v>267</v>
      </c>
      <c r="C27" s="45" t="s">
        <v>268</v>
      </c>
      <c r="D27" s="45" t="s">
        <v>269</v>
      </c>
      <c r="E27" s="45" t="s">
        <v>270</v>
      </c>
      <c r="F27" s="45" t="s">
        <v>271</v>
      </c>
    </row>
    <row r="28" spans="1:6" ht="15" customHeight="1" x14ac:dyDescent="0.2">
      <c r="A28" s="5" t="s">
        <v>27</v>
      </c>
      <c r="B28" s="45" t="s">
        <v>272</v>
      </c>
      <c r="C28" s="45" t="s">
        <v>273</v>
      </c>
      <c r="D28" s="45" t="s">
        <v>274</v>
      </c>
      <c r="E28" s="45" t="s">
        <v>275</v>
      </c>
      <c r="F28" s="45" t="s">
        <v>263</v>
      </c>
    </row>
    <row r="29" spans="1:6" ht="15" customHeight="1" x14ac:dyDescent="0.2">
      <c r="A29" s="5" t="s">
        <v>29</v>
      </c>
      <c r="B29" s="45" t="s">
        <v>266</v>
      </c>
      <c r="C29" s="45" t="s">
        <v>276</v>
      </c>
      <c r="D29" s="45" t="s">
        <v>277</v>
      </c>
      <c r="E29" s="45" t="s">
        <v>278</v>
      </c>
      <c r="F29" s="45" t="s">
        <v>271</v>
      </c>
    </row>
    <row r="30" spans="1:6" ht="15" customHeight="1" x14ac:dyDescent="0.2">
      <c r="A30" s="5"/>
      <c r="B30" s="45"/>
      <c r="C30" s="45"/>
      <c r="D30" s="45"/>
      <c r="E30" s="45"/>
      <c r="F30" s="45"/>
    </row>
    <row r="31" spans="1:6" ht="15" customHeight="1" x14ac:dyDescent="0.2">
      <c r="A31" s="35" t="s">
        <v>279</v>
      </c>
      <c r="B31" s="40"/>
      <c r="C31" s="41"/>
      <c r="D31" s="42"/>
      <c r="E31" s="43"/>
      <c r="F31" s="44"/>
    </row>
    <row r="32" spans="1:6" ht="15" customHeight="1" x14ac:dyDescent="0.2">
      <c r="A32" s="5" t="s">
        <v>280</v>
      </c>
      <c r="B32" s="45" t="s">
        <v>281</v>
      </c>
      <c r="C32" s="45" t="s">
        <v>282</v>
      </c>
      <c r="D32" s="45" t="s">
        <v>283</v>
      </c>
      <c r="E32" s="45" t="s">
        <v>284</v>
      </c>
      <c r="F32" s="45" t="s">
        <v>285</v>
      </c>
    </row>
    <row r="33" spans="1:6" ht="15" customHeight="1" x14ac:dyDescent="0.2">
      <c r="A33" s="5" t="s">
        <v>286</v>
      </c>
      <c r="B33" s="45" t="s">
        <v>287</v>
      </c>
      <c r="C33" s="45" t="s">
        <v>288</v>
      </c>
      <c r="D33" s="45" t="s">
        <v>289</v>
      </c>
      <c r="E33" s="45" t="s">
        <v>290</v>
      </c>
      <c r="F33" s="45" t="s">
        <v>281</v>
      </c>
    </row>
    <row r="34" spans="1:6" ht="15" customHeight="1" x14ac:dyDescent="0.2">
      <c r="A34" s="5" t="s">
        <v>291</v>
      </c>
      <c r="B34" s="45" t="s">
        <v>292</v>
      </c>
      <c r="C34" s="45" t="s">
        <v>281</v>
      </c>
      <c r="D34" s="45" t="s">
        <v>293</v>
      </c>
      <c r="E34" s="45" t="s">
        <v>294</v>
      </c>
      <c r="F34" s="45" t="s">
        <v>295</v>
      </c>
    </row>
    <row r="35" spans="1:6" ht="15" customHeight="1" x14ac:dyDescent="0.2">
      <c r="A35" s="5"/>
      <c r="B35" s="45"/>
      <c r="C35" s="45"/>
      <c r="D35" s="45"/>
      <c r="E35" s="45"/>
      <c r="F35" s="45"/>
    </row>
    <row r="36" spans="1:6" ht="15" customHeight="1" x14ac:dyDescent="0.2">
      <c r="A36" s="35" t="s">
        <v>296</v>
      </c>
      <c r="B36" s="40"/>
      <c r="C36" s="41"/>
      <c r="D36" s="42"/>
      <c r="E36" s="43"/>
      <c r="F36" s="44"/>
    </row>
    <row r="37" spans="1:6" ht="15" customHeight="1" x14ac:dyDescent="0.2">
      <c r="A37" s="5" t="s">
        <v>297</v>
      </c>
      <c r="B37" s="45" t="s">
        <v>298</v>
      </c>
      <c r="C37" s="45" t="s">
        <v>299</v>
      </c>
      <c r="D37" s="45" t="s">
        <v>300</v>
      </c>
      <c r="E37" s="45" t="s">
        <v>301</v>
      </c>
      <c r="F37" s="45" t="s">
        <v>302</v>
      </c>
    </row>
    <row r="38" spans="1:6" ht="15" customHeight="1" x14ac:dyDescent="0.2">
      <c r="A38" s="5" t="s">
        <v>303</v>
      </c>
      <c r="B38" s="45" t="s">
        <v>304</v>
      </c>
      <c r="C38" s="45" t="s">
        <v>305</v>
      </c>
      <c r="D38" s="45" t="s">
        <v>306</v>
      </c>
      <c r="E38" s="45" t="s">
        <v>307</v>
      </c>
      <c r="F38" s="45" t="s">
        <v>305</v>
      </c>
    </row>
    <row r="39" spans="1:6" ht="15" customHeight="1" x14ac:dyDescent="0.2">
      <c r="A39" s="5" t="s">
        <v>308</v>
      </c>
      <c r="B39" s="45" t="s">
        <v>309</v>
      </c>
      <c r="C39" s="45" t="s">
        <v>310</v>
      </c>
      <c r="D39" s="45" t="s">
        <v>310</v>
      </c>
      <c r="E39" s="45" t="s">
        <v>311</v>
      </c>
      <c r="F39" s="45" t="s">
        <v>312</v>
      </c>
    </row>
    <row r="40" spans="1:6" ht="15" customHeight="1" x14ac:dyDescent="0.2">
      <c r="A40" s="5" t="s">
        <v>313</v>
      </c>
      <c r="B40" s="45" t="s">
        <v>314</v>
      </c>
      <c r="C40" s="45" t="s">
        <v>315</v>
      </c>
      <c r="D40" s="45" t="s">
        <v>316</v>
      </c>
      <c r="E40" s="45" t="s">
        <v>316</v>
      </c>
      <c r="F40" s="45" t="s">
        <v>317</v>
      </c>
    </row>
    <row r="41" spans="1:6" ht="15" customHeight="1" x14ac:dyDescent="0.2">
      <c r="A41" s="5" t="s">
        <v>318</v>
      </c>
      <c r="B41" s="45" t="s">
        <v>319</v>
      </c>
      <c r="C41" s="45" t="s">
        <v>320</v>
      </c>
      <c r="D41" s="45" t="s">
        <v>316</v>
      </c>
      <c r="E41" s="45" t="s">
        <v>321</v>
      </c>
      <c r="F41" s="45" t="s">
        <v>322</v>
      </c>
    </row>
    <row r="42" spans="1:6" ht="15" customHeight="1" x14ac:dyDescent="0.2">
      <c r="A42" s="5"/>
      <c r="B42" s="45"/>
      <c r="C42" s="45"/>
      <c r="D42" s="45"/>
      <c r="E42" s="45"/>
      <c r="F42" s="45"/>
    </row>
    <row r="43" spans="1:6" ht="15" customHeight="1" x14ac:dyDescent="0.2">
      <c r="A43" s="35" t="s">
        <v>323</v>
      </c>
      <c r="B43" s="40"/>
      <c r="C43" s="41"/>
      <c r="D43" s="42"/>
      <c r="E43" s="43"/>
      <c r="F43" s="44"/>
    </row>
    <row r="44" spans="1:6" ht="15" customHeight="1" x14ac:dyDescent="0.2">
      <c r="A44" s="5" t="s">
        <v>324</v>
      </c>
      <c r="B44" s="45" t="s">
        <v>325</v>
      </c>
      <c r="C44" s="45" t="s">
        <v>326</v>
      </c>
      <c r="D44" s="45" t="s">
        <v>327</v>
      </c>
      <c r="E44" s="45" t="s">
        <v>326</v>
      </c>
      <c r="F44" s="45" t="s">
        <v>328</v>
      </c>
    </row>
    <row r="45" spans="1:6" ht="15" customHeight="1" x14ac:dyDescent="0.2">
      <c r="A45" s="5" t="s">
        <v>329</v>
      </c>
      <c r="B45" s="45" t="s">
        <v>330</v>
      </c>
      <c r="C45" s="45" t="s">
        <v>331</v>
      </c>
      <c r="D45" s="45" t="s">
        <v>332</v>
      </c>
      <c r="E45" s="45" t="s">
        <v>333</v>
      </c>
      <c r="F45" s="45" t="s">
        <v>334</v>
      </c>
    </row>
    <row r="46" spans="1:6" ht="15" customHeight="1" x14ac:dyDescent="0.2">
      <c r="A46" s="5" t="s">
        <v>335</v>
      </c>
      <c r="B46" s="45" t="s">
        <v>336</v>
      </c>
      <c r="C46" s="45" t="s">
        <v>337</v>
      </c>
      <c r="D46" s="45" t="s">
        <v>316</v>
      </c>
      <c r="E46" s="45" t="s">
        <v>316</v>
      </c>
      <c r="F46" s="45" t="s">
        <v>338</v>
      </c>
    </row>
    <row r="47" spans="1:6" ht="15" customHeight="1" x14ac:dyDescent="0.2">
      <c r="A47" s="5" t="s">
        <v>339</v>
      </c>
      <c r="B47" s="45" t="s">
        <v>340</v>
      </c>
      <c r="C47" s="45" t="s">
        <v>341</v>
      </c>
      <c r="D47" s="45" t="s">
        <v>342</v>
      </c>
      <c r="E47" s="45" t="s">
        <v>343</v>
      </c>
      <c r="F47" s="45" t="s">
        <v>341</v>
      </c>
    </row>
    <row r="48" spans="1:6" ht="15" customHeight="1" x14ac:dyDescent="0.2">
      <c r="A48" s="5" t="s">
        <v>344</v>
      </c>
      <c r="B48" s="45" t="s">
        <v>345</v>
      </c>
      <c r="C48" s="45" t="s">
        <v>346</v>
      </c>
      <c r="D48" s="45" t="s">
        <v>316</v>
      </c>
      <c r="E48" s="45" t="s">
        <v>347</v>
      </c>
      <c r="F48" s="45" t="s">
        <v>348</v>
      </c>
    </row>
    <row r="49" spans="1:6" ht="15" customHeight="1" x14ac:dyDescent="0.2">
      <c r="A49" s="5"/>
      <c r="B49" s="45"/>
      <c r="C49" s="45"/>
      <c r="D49" s="45"/>
      <c r="E49" s="45"/>
      <c r="F49" s="45"/>
    </row>
    <row r="50" spans="1:6" ht="15" customHeight="1" x14ac:dyDescent="0.2">
      <c r="A50" s="35" t="s">
        <v>349</v>
      </c>
      <c r="B50" s="40"/>
      <c r="C50" s="41"/>
      <c r="D50" s="42"/>
      <c r="E50" s="43"/>
      <c r="F50" s="44"/>
    </row>
    <row r="51" spans="1:6" ht="15" customHeight="1" x14ac:dyDescent="0.2">
      <c r="A51" s="5" t="s">
        <v>350</v>
      </c>
      <c r="B51" s="45" t="s">
        <v>351</v>
      </c>
      <c r="C51" s="45" t="s">
        <v>352</v>
      </c>
      <c r="D51" s="45" t="s">
        <v>316</v>
      </c>
      <c r="E51" s="45" t="s">
        <v>353</v>
      </c>
      <c r="F51" s="45" t="s">
        <v>352</v>
      </c>
    </row>
    <row r="52" spans="1:6" ht="15" customHeight="1" x14ac:dyDescent="0.2">
      <c r="A52" s="5" t="s">
        <v>354</v>
      </c>
      <c r="B52" s="45" t="s">
        <v>316</v>
      </c>
      <c r="C52" s="45" t="s">
        <v>316</v>
      </c>
      <c r="D52" s="45" t="s">
        <v>355</v>
      </c>
      <c r="E52" s="45" t="s">
        <v>353</v>
      </c>
      <c r="F52" s="45" t="s">
        <v>316</v>
      </c>
    </row>
    <row r="53" spans="1:6" ht="15" customHeight="1" x14ac:dyDescent="0.2">
      <c r="A53" s="5" t="s">
        <v>356</v>
      </c>
      <c r="B53" s="45" t="s">
        <v>357</v>
      </c>
      <c r="C53" s="45" t="s">
        <v>358</v>
      </c>
      <c r="D53" s="45" t="s">
        <v>316</v>
      </c>
      <c r="E53" s="45" t="s">
        <v>316</v>
      </c>
      <c r="F53" s="45" t="s">
        <v>359</v>
      </c>
    </row>
    <row r="54" spans="1:6" ht="15" customHeight="1" x14ac:dyDescent="0.2">
      <c r="A54" s="5" t="s">
        <v>360</v>
      </c>
      <c r="B54" s="45" t="s">
        <v>316</v>
      </c>
      <c r="C54" s="45" t="s">
        <v>361</v>
      </c>
      <c r="D54" s="45" t="s">
        <v>316</v>
      </c>
      <c r="E54" s="45" t="s">
        <v>316</v>
      </c>
      <c r="F54" s="45" t="s">
        <v>353</v>
      </c>
    </row>
    <row r="55" spans="1:6" ht="15" customHeight="1" x14ac:dyDescent="0.2">
      <c r="A55" s="5" t="s">
        <v>362</v>
      </c>
      <c r="B55" s="45" t="s">
        <v>363</v>
      </c>
      <c r="C55" s="45" t="s">
        <v>364</v>
      </c>
      <c r="D55" s="45" t="s">
        <v>365</v>
      </c>
      <c r="E55" s="45" t="s">
        <v>366</v>
      </c>
      <c r="F55" s="45" t="s">
        <v>365</v>
      </c>
    </row>
    <row r="56" spans="1:6" ht="15" customHeight="1" x14ac:dyDescent="0.2">
      <c r="A56" s="5"/>
      <c r="B56" s="45"/>
      <c r="C56" s="45"/>
      <c r="D56" s="45"/>
      <c r="E56" s="45"/>
      <c r="F56" s="45"/>
    </row>
    <row r="57" spans="1:6" ht="15" customHeight="1" x14ac:dyDescent="0.2">
      <c r="A57" s="35" t="s">
        <v>367</v>
      </c>
      <c r="B57" s="40"/>
      <c r="C57" s="41"/>
      <c r="D57" s="42"/>
      <c r="E57" s="43"/>
      <c r="F57" s="44"/>
    </row>
    <row r="58" spans="1:6" ht="15" customHeight="1" x14ac:dyDescent="0.2">
      <c r="A58" s="5" t="s">
        <v>368</v>
      </c>
      <c r="B58" s="45" t="s">
        <v>369</v>
      </c>
      <c r="C58" s="45" t="s">
        <v>370</v>
      </c>
      <c r="D58" s="45" t="s">
        <v>371</v>
      </c>
      <c r="E58" s="45" t="s">
        <v>372</v>
      </c>
      <c r="F58" s="45" t="s">
        <v>373</v>
      </c>
    </row>
    <row r="59" spans="1:6" ht="15" customHeight="1" x14ac:dyDescent="0.2">
      <c r="A59" s="5" t="s">
        <v>374</v>
      </c>
      <c r="B59" s="45" t="s">
        <v>375</v>
      </c>
      <c r="C59" s="45" t="s">
        <v>376</v>
      </c>
      <c r="D59" s="45" t="s">
        <v>316</v>
      </c>
      <c r="E59" s="45" t="s">
        <v>369</v>
      </c>
      <c r="F59" s="45" t="s">
        <v>377</v>
      </c>
    </row>
    <row r="60" spans="1:6" ht="15" customHeight="1" x14ac:dyDescent="0.2">
      <c r="A60" s="5" t="s">
        <v>378</v>
      </c>
      <c r="B60" s="45" t="s">
        <v>377</v>
      </c>
      <c r="C60" s="45" t="s">
        <v>369</v>
      </c>
      <c r="D60" s="45" t="s">
        <v>379</v>
      </c>
      <c r="E60" s="45" t="s">
        <v>370</v>
      </c>
      <c r="F60" s="45" t="s">
        <v>380</v>
      </c>
    </row>
    <row r="61" spans="1:6" ht="15" customHeight="1" x14ac:dyDescent="0.2">
      <c r="A61" s="5" t="s">
        <v>381</v>
      </c>
      <c r="B61" s="45" t="s">
        <v>364</v>
      </c>
      <c r="C61" s="45" t="s">
        <v>382</v>
      </c>
      <c r="D61" s="45" t="s">
        <v>382</v>
      </c>
      <c r="E61" s="45" t="s">
        <v>383</v>
      </c>
      <c r="F61" s="45" t="s">
        <v>366</v>
      </c>
    </row>
    <row r="62" spans="1:6" ht="15" customHeight="1" x14ac:dyDescent="0.2">
      <c r="A62" s="5" t="s">
        <v>384</v>
      </c>
      <c r="B62" s="45" t="s">
        <v>355</v>
      </c>
      <c r="C62" s="45" t="s">
        <v>353</v>
      </c>
      <c r="D62" s="45" t="s">
        <v>316</v>
      </c>
      <c r="E62" s="45" t="s">
        <v>364</v>
      </c>
      <c r="F62" s="45" t="s">
        <v>385</v>
      </c>
    </row>
    <row r="63" spans="1:6" ht="15" customHeight="1" x14ac:dyDescent="0.2">
      <c r="A63" s="5"/>
      <c r="B63" s="45"/>
      <c r="C63" s="45"/>
      <c r="D63" s="45"/>
      <c r="E63" s="45"/>
      <c r="F63" s="45"/>
    </row>
    <row r="64" spans="1:6" ht="15" customHeight="1" x14ac:dyDescent="0.2">
      <c r="A64" s="35" t="s">
        <v>386</v>
      </c>
      <c r="B64" s="40"/>
      <c r="C64" s="41"/>
      <c r="D64" s="42"/>
      <c r="E64" s="43"/>
      <c r="F64" s="44"/>
    </row>
    <row r="65" spans="1:7" ht="15" customHeight="1" x14ac:dyDescent="0.2">
      <c r="A65" s="5" t="s">
        <v>387</v>
      </c>
      <c r="B65" s="45" t="s">
        <v>388</v>
      </c>
      <c r="C65" s="45" t="s">
        <v>389</v>
      </c>
      <c r="D65" s="45" t="s">
        <v>390</v>
      </c>
      <c r="E65" s="45" t="s">
        <v>391</v>
      </c>
      <c r="F65" s="45" t="s">
        <v>388</v>
      </c>
    </row>
    <row r="66" spans="1:7" ht="15" customHeight="1" x14ac:dyDescent="0.2">
      <c r="A66" s="5" t="s">
        <v>392</v>
      </c>
      <c r="B66" s="45" t="s">
        <v>393</v>
      </c>
      <c r="C66" s="45" t="s">
        <v>394</v>
      </c>
      <c r="D66" s="45" t="s">
        <v>395</v>
      </c>
      <c r="E66" s="45" t="s">
        <v>396</v>
      </c>
      <c r="F66" s="45" t="s">
        <v>393</v>
      </c>
    </row>
    <row r="67" spans="1:7" ht="15" customHeight="1" x14ac:dyDescent="0.2">
      <c r="A67" s="5" t="s">
        <v>397</v>
      </c>
      <c r="B67" s="45" t="s">
        <v>398</v>
      </c>
      <c r="C67" s="45" t="s">
        <v>399</v>
      </c>
      <c r="D67" s="45" t="s">
        <v>316</v>
      </c>
      <c r="E67" s="45" t="s">
        <v>400</v>
      </c>
      <c r="F67" s="45" t="s">
        <v>398</v>
      </c>
    </row>
    <row r="68" spans="1:7" ht="15" customHeight="1" x14ac:dyDescent="0.2">
      <c r="A68" s="5"/>
      <c r="B68" s="45"/>
      <c r="C68" s="45"/>
      <c r="D68" s="45"/>
      <c r="E68" s="45"/>
      <c r="F68" s="45"/>
    </row>
    <row r="69" spans="1:7" ht="15" customHeight="1" x14ac:dyDescent="0.2">
      <c r="A69" s="35" t="s">
        <v>401</v>
      </c>
      <c r="B69" s="40"/>
      <c r="C69" s="41"/>
      <c r="D69" s="42"/>
      <c r="E69" s="43"/>
      <c r="F69" s="44"/>
    </row>
    <row r="70" spans="1:7" ht="15" customHeight="1" x14ac:dyDescent="0.2">
      <c r="A70" s="5" t="s">
        <v>402</v>
      </c>
      <c r="B70" s="45" t="s">
        <v>403</v>
      </c>
      <c r="C70" s="45" t="s">
        <v>404</v>
      </c>
      <c r="D70" s="45" t="s">
        <v>405</v>
      </c>
      <c r="E70" s="45" t="s">
        <v>404</v>
      </c>
      <c r="F70" s="45" t="s">
        <v>404</v>
      </c>
    </row>
    <row r="71" spans="1:7" ht="15" customHeight="1" x14ac:dyDescent="0.2">
      <c r="A71" s="5" t="s">
        <v>406</v>
      </c>
      <c r="B71" s="45" t="s">
        <v>407</v>
      </c>
      <c r="C71" s="45" t="s">
        <v>408</v>
      </c>
      <c r="D71" s="45" t="s">
        <v>409</v>
      </c>
      <c r="E71" s="45" t="s">
        <v>410</v>
      </c>
      <c r="F71" s="45" t="s">
        <v>411</v>
      </c>
    </row>
    <row r="72" spans="1:7" ht="15" customHeight="1" x14ac:dyDescent="0.2">
      <c r="A72" s="5" t="s">
        <v>412</v>
      </c>
      <c r="B72" s="45" t="s">
        <v>407</v>
      </c>
      <c r="C72" s="45" t="s">
        <v>413</v>
      </c>
      <c r="D72" s="45" t="s">
        <v>414</v>
      </c>
      <c r="E72" s="45" t="s">
        <v>413</v>
      </c>
      <c r="F72" s="45" t="s">
        <v>414</v>
      </c>
    </row>
    <row r="73" spans="1:7" ht="15" customHeight="1" x14ac:dyDescent="0.2">
      <c r="A73" s="5" t="s">
        <v>415</v>
      </c>
      <c r="B73" s="45" t="s">
        <v>416</v>
      </c>
      <c r="C73" s="45" t="s">
        <v>417</v>
      </c>
      <c r="D73" s="45" t="s">
        <v>316</v>
      </c>
      <c r="E73" s="45" t="s">
        <v>413</v>
      </c>
      <c r="F73" s="45" t="s">
        <v>418</v>
      </c>
    </row>
    <row r="76" spans="1:7" ht="15" customHeight="1" x14ac:dyDescent="0.2">
      <c r="A76" s="47" t="s">
        <v>419</v>
      </c>
    </row>
    <row r="77" spans="1:7" ht="15" customHeight="1" x14ac:dyDescent="0.2">
      <c r="A77" s="12" t="s">
        <v>420</v>
      </c>
    </row>
    <row r="79" spans="1:7" ht="15" customHeight="1" x14ac:dyDescent="0.2">
      <c r="A79" s="15" t="s">
        <v>421</v>
      </c>
      <c r="B79" s="16"/>
      <c r="C79" s="16"/>
      <c r="D79" s="16"/>
      <c r="E79" s="16"/>
      <c r="F79" s="16"/>
      <c r="G79" s="16"/>
    </row>
    <row r="80" spans="1:7" ht="15" customHeight="1" x14ac:dyDescent="0.2">
      <c r="A80" s="48" t="s">
        <v>201</v>
      </c>
      <c r="B80" s="48" t="s">
        <v>422</v>
      </c>
      <c r="C80" s="48" t="s">
        <v>423</v>
      </c>
      <c r="D80" s="48" t="s">
        <v>424</v>
      </c>
    </row>
    <row r="81" spans="1:4" ht="15" customHeight="1" x14ac:dyDescent="0.2">
      <c r="A81" s="49" t="s">
        <v>11</v>
      </c>
      <c r="B81" s="49" t="s">
        <v>425</v>
      </c>
      <c r="C81" s="49" t="s">
        <v>12</v>
      </c>
      <c r="D81" s="49"/>
    </row>
    <row r="82" spans="1:4" ht="15" customHeight="1" x14ac:dyDescent="0.2">
      <c r="A82" s="49" t="s">
        <v>14</v>
      </c>
      <c r="B82" s="49" t="s">
        <v>426</v>
      </c>
      <c r="C82" s="49" t="s">
        <v>15</v>
      </c>
      <c r="D82" s="49"/>
    </row>
    <row r="83" spans="1:4" ht="15" customHeight="1" x14ac:dyDescent="0.2">
      <c r="A83" s="49" t="s">
        <v>427</v>
      </c>
      <c r="B83" s="49" t="s">
        <v>428</v>
      </c>
      <c r="C83" s="49" t="s">
        <v>17</v>
      </c>
      <c r="D83" s="49"/>
    </row>
    <row r="84" spans="1:4" ht="15" customHeight="1" x14ac:dyDescent="0.2">
      <c r="A84" s="49" t="s">
        <v>429</v>
      </c>
      <c r="B84" s="49" t="s">
        <v>430</v>
      </c>
      <c r="C84" s="49" t="s">
        <v>19</v>
      </c>
      <c r="D84" s="49"/>
    </row>
    <row r="85" spans="1:4" ht="15" customHeight="1" x14ac:dyDescent="0.2">
      <c r="A85" s="49" t="s">
        <v>230</v>
      </c>
      <c r="B85" s="49" t="s">
        <v>431</v>
      </c>
      <c r="C85" s="49" t="s">
        <v>21</v>
      </c>
      <c r="D85" s="49"/>
    </row>
    <row r="86" spans="1:4" ht="15" customHeight="1" x14ac:dyDescent="0.2">
      <c r="A86" s="49" t="s">
        <v>261</v>
      </c>
      <c r="B86" s="49" t="s">
        <v>432</v>
      </c>
      <c r="C86" s="50">
        <v>950</v>
      </c>
      <c r="D86" s="49" t="s">
        <v>186</v>
      </c>
    </row>
    <row r="87" spans="1:4" ht="15" customHeight="1" x14ac:dyDescent="0.2">
      <c r="A87" s="49" t="s">
        <v>25</v>
      </c>
      <c r="B87" s="49" t="s">
        <v>433</v>
      </c>
      <c r="C87" s="50">
        <v>1050</v>
      </c>
      <c r="D87" s="49" t="s">
        <v>186</v>
      </c>
    </row>
    <row r="88" spans="1:4" ht="15" customHeight="1" x14ac:dyDescent="0.2">
      <c r="A88" s="49" t="s">
        <v>27</v>
      </c>
      <c r="B88" s="49" t="s">
        <v>434</v>
      </c>
      <c r="C88" s="50">
        <v>4500</v>
      </c>
      <c r="D88" s="49" t="s">
        <v>186</v>
      </c>
    </row>
    <row r="89" spans="1:4" ht="15" customHeight="1" x14ac:dyDescent="0.2">
      <c r="A89" s="49" t="s">
        <v>29</v>
      </c>
      <c r="B89" s="49" t="s">
        <v>435</v>
      </c>
      <c r="C89" s="50">
        <v>1950</v>
      </c>
      <c r="D89" s="49" t="s">
        <v>186</v>
      </c>
    </row>
    <row r="90" spans="1:4" ht="15" customHeight="1" x14ac:dyDescent="0.2">
      <c r="A90" s="49" t="s">
        <v>236</v>
      </c>
      <c r="B90" s="49" t="s">
        <v>436</v>
      </c>
      <c r="C90" s="51">
        <v>4</v>
      </c>
      <c r="D90" s="49" t="s">
        <v>180</v>
      </c>
    </row>
    <row r="91" spans="1:4" ht="15" customHeight="1" x14ac:dyDescent="0.2">
      <c r="A91" s="49" t="s">
        <v>242</v>
      </c>
      <c r="B91" s="49" t="s">
        <v>437</v>
      </c>
      <c r="C91" s="51">
        <v>2.5</v>
      </c>
      <c r="D91" s="49" t="s">
        <v>180</v>
      </c>
    </row>
    <row r="92" spans="1:4" ht="15" customHeight="1" x14ac:dyDescent="0.2">
      <c r="A92" s="49" t="s">
        <v>248</v>
      </c>
      <c r="B92" s="49" t="s">
        <v>438</v>
      </c>
      <c r="C92" s="52">
        <v>0.3</v>
      </c>
      <c r="D92" s="49" t="s">
        <v>180</v>
      </c>
    </row>
    <row r="93" spans="1:4" ht="15" customHeight="1" x14ac:dyDescent="0.2">
      <c r="A93" s="49" t="s">
        <v>254</v>
      </c>
      <c r="B93" s="49" t="s">
        <v>439</v>
      </c>
      <c r="C93" s="52">
        <v>0.15</v>
      </c>
      <c r="D93" s="49" t="s">
        <v>180</v>
      </c>
    </row>
    <row r="94" spans="1:4" ht="15" customHeight="1" x14ac:dyDescent="0.2">
      <c r="A94" s="49" t="s">
        <v>179</v>
      </c>
      <c r="B94" s="49" t="s">
        <v>440</v>
      </c>
      <c r="C94" s="49" t="s">
        <v>180</v>
      </c>
      <c r="D94" s="49"/>
    </row>
    <row r="95" spans="1:4" ht="15" customHeight="1" x14ac:dyDescent="0.2">
      <c r="A95" s="49" t="s">
        <v>216</v>
      </c>
      <c r="B95" s="49" t="s">
        <v>441</v>
      </c>
      <c r="C95" s="51">
        <v>31.1035</v>
      </c>
      <c r="D95" s="49"/>
    </row>
    <row r="96" spans="1:4" ht="15" customHeight="1" x14ac:dyDescent="0.2">
      <c r="A96" s="49" t="s">
        <v>191</v>
      </c>
      <c r="B96" s="49" t="s">
        <v>442</v>
      </c>
      <c r="C96" s="49" t="s">
        <v>192</v>
      </c>
      <c r="D96" s="49"/>
    </row>
    <row r="97" spans="1:7" ht="15" customHeight="1" x14ac:dyDescent="0.2">
      <c r="A97" s="49" t="s">
        <v>443</v>
      </c>
      <c r="B97" s="49" t="s">
        <v>444</v>
      </c>
      <c r="C97" s="52">
        <v>0.04</v>
      </c>
      <c r="D97" s="49" t="s">
        <v>445</v>
      </c>
    </row>
    <row r="98" spans="1:7" ht="15" customHeight="1" x14ac:dyDescent="0.2">
      <c r="A98" s="49" t="s">
        <v>303</v>
      </c>
      <c r="B98" s="49" t="s">
        <v>446</v>
      </c>
      <c r="C98" s="52">
        <v>0.87</v>
      </c>
      <c r="D98" s="49"/>
    </row>
    <row r="99" spans="1:7" ht="15" customHeight="1" x14ac:dyDescent="0.2">
      <c r="A99" s="49" t="s">
        <v>447</v>
      </c>
      <c r="B99" s="49" t="s">
        <v>448</v>
      </c>
      <c r="C99" s="52">
        <v>0.96</v>
      </c>
      <c r="D99" s="49"/>
    </row>
    <row r="100" spans="1:7" ht="15" customHeight="1" x14ac:dyDescent="0.2">
      <c r="A100" s="49" t="s">
        <v>56</v>
      </c>
      <c r="B100" s="49" t="s">
        <v>449</v>
      </c>
      <c r="C100" s="49" t="s">
        <v>57</v>
      </c>
      <c r="D100" s="49"/>
    </row>
    <row r="102" spans="1:7" ht="15" customHeight="1" x14ac:dyDescent="0.2">
      <c r="A102" s="53" t="s">
        <v>450</v>
      </c>
      <c r="B102" s="54"/>
      <c r="C102" s="54"/>
      <c r="D102" s="54"/>
      <c r="E102" s="54"/>
      <c r="F102" s="54"/>
      <c r="G102" s="54"/>
    </row>
    <row r="103" spans="1:7" ht="15" customHeight="1" x14ac:dyDescent="0.2">
      <c r="A103" s="48" t="s">
        <v>201</v>
      </c>
      <c r="B103" s="48" t="s">
        <v>422</v>
      </c>
      <c r="C103" s="48" t="s">
        <v>423</v>
      </c>
      <c r="D103" s="48" t="s">
        <v>424</v>
      </c>
    </row>
    <row r="104" spans="1:7" ht="15" customHeight="1" x14ac:dyDescent="0.2">
      <c r="A104" s="49" t="s">
        <v>11</v>
      </c>
      <c r="B104" s="49" t="s">
        <v>425</v>
      </c>
      <c r="C104" s="49" t="s">
        <v>202</v>
      </c>
      <c r="D104" s="49"/>
    </row>
    <row r="105" spans="1:7" ht="15" customHeight="1" x14ac:dyDescent="0.2">
      <c r="A105" s="49" t="s">
        <v>14</v>
      </c>
      <c r="B105" s="49" t="s">
        <v>426</v>
      </c>
      <c r="C105" s="49" t="s">
        <v>219</v>
      </c>
      <c r="D105" s="49"/>
    </row>
    <row r="106" spans="1:7" ht="15" customHeight="1" x14ac:dyDescent="0.2">
      <c r="A106" s="49" t="s">
        <v>427</v>
      </c>
      <c r="B106" s="49" t="s">
        <v>428</v>
      </c>
      <c r="C106" s="49" t="s">
        <v>222</v>
      </c>
      <c r="D106" s="49"/>
    </row>
    <row r="107" spans="1:7" ht="15" customHeight="1" x14ac:dyDescent="0.2">
      <c r="A107" s="49" t="s">
        <v>429</v>
      </c>
      <c r="B107" s="49" t="s">
        <v>430</v>
      </c>
      <c r="C107" s="49" t="s">
        <v>226</v>
      </c>
      <c r="D107" s="49"/>
    </row>
    <row r="108" spans="1:7" ht="15" customHeight="1" x14ac:dyDescent="0.2">
      <c r="A108" s="49" t="s">
        <v>230</v>
      </c>
      <c r="B108" s="49" t="s">
        <v>431</v>
      </c>
      <c r="C108" s="49" t="s">
        <v>231</v>
      </c>
      <c r="D108" s="49"/>
    </row>
    <row r="109" spans="1:7" ht="15" customHeight="1" x14ac:dyDescent="0.2">
      <c r="A109" s="49" t="s">
        <v>261</v>
      </c>
      <c r="B109" s="49" t="s">
        <v>432</v>
      </c>
      <c r="C109" s="50">
        <v>9000</v>
      </c>
      <c r="D109" s="49" t="s">
        <v>451</v>
      </c>
    </row>
    <row r="110" spans="1:7" ht="15" customHeight="1" x14ac:dyDescent="0.2">
      <c r="A110" s="49" t="s">
        <v>25</v>
      </c>
      <c r="B110" s="49" t="s">
        <v>433</v>
      </c>
      <c r="C110" s="50">
        <v>2800</v>
      </c>
      <c r="D110" s="49" t="s">
        <v>451</v>
      </c>
    </row>
    <row r="111" spans="1:7" ht="15" customHeight="1" x14ac:dyDescent="0.2">
      <c r="A111" s="49" t="s">
        <v>27</v>
      </c>
      <c r="B111" s="49" t="s">
        <v>434</v>
      </c>
      <c r="C111" s="50">
        <v>16000</v>
      </c>
      <c r="D111" s="49" t="s">
        <v>451</v>
      </c>
    </row>
    <row r="112" spans="1:7" ht="15" customHeight="1" x14ac:dyDescent="0.2">
      <c r="A112" s="49" t="s">
        <v>29</v>
      </c>
      <c r="B112" s="49" t="s">
        <v>435</v>
      </c>
      <c r="C112" s="50">
        <v>50000</v>
      </c>
      <c r="D112" s="49" t="s">
        <v>451</v>
      </c>
    </row>
    <row r="113" spans="1:4" ht="15" customHeight="1" x14ac:dyDescent="0.2">
      <c r="A113" s="49" t="s">
        <v>236</v>
      </c>
      <c r="B113" s="49" t="s">
        <v>436</v>
      </c>
      <c r="C113" s="50">
        <v>1.2</v>
      </c>
      <c r="D113" s="49" t="s">
        <v>452</v>
      </c>
    </row>
    <row r="114" spans="1:4" ht="15" customHeight="1" x14ac:dyDescent="0.2">
      <c r="A114" s="49" t="s">
        <v>242</v>
      </c>
      <c r="B114" s="49" t="s">
        <v>437</v>
      </c>
      <c r="C114" s="52">
        <v>0.8</v>
      </c>
      <c r="D114" s="49" t="s">
        <v>453</v>
      </c>
    </row>
    <row r="115" spans="1:4" ht="15" customHeight="1" x14ac:dyDescent="0.2">
      <c r="A115" s="49" t="s">
        <v>248</v>
      </c>
      <c r="B115" s="49" t="s">
        <v>438</v>
      </c>
      <c r="C115" s="52">
        <v>0.15</v>
      </c>
      <c r="D115" s="49" t="s">
        <v>454</v>
      </c>
    </row>
    <row r="116" spans="1:4" ht="15" customHeight="1" x14ac:dyDescent="0.2">
      <c r="A116" s="49" t="s">
        <v>254</v>
      </c>
      <c r="B116" s="49" t="s">
        <v>439</v>
      </c>
      <c r="C116" s="52">
        <v>0.03</v>
      </c>
      <c r="D116" s="49" t="s">
        <v>455</v>
      </c>
    </row>
    <row r="117" spans="1:4" ht="15" customHeight="1" x14ac:dyDescent="0.2">
      <c r="A117" s="49" t="s">
        <v>179</v>
      </c>
      <c r="B117" s="49" t="s">
        <v>440</v>
      </c>
      <c r="C117" s="49" t="s">
        <v>456</v>
      </c>
      <c r="D117" s="49"/>
    </row>
    <row r="118" spans="1:4" ht="15" customHeight="1" x14ac:dyDescent="0.2">
      <c r="A118" s="49" t="s">
        <v>216</v>
      </c>
      <c r="B118" s="49" t="s">
        <v>441</v>
      </c>
      <c r="C118" s="50">
        <v>10</v>
      </c>
      <c r="D118" s="49"/>
    </row>
    <row r="119" spans="1:4" ht="15" customHeight="1" x14ac:dyDescent="0.2">
      <c r="A119" s="49" t="s">
        <v>191</v>
      </c>
      <c r="B119" s="49" t="s">
        <v>442</v>
      </c>
      <c r="C119" s="49" t="s">
        <v>217</v>
      </c>
      <c r="D119" s="49"/>
    </row>
    <row r="120" spans="1:4" ht="15" customHeight="1" x14ac:dyDescent="0.2">
      <c r="A120" s="49" t="s">
        <v>443</v>
      </c>
      <c r="B120" s="49" t="s">
        <v>444</v>
      </c>
      <c r="C120" s="52">
        <v>0.08</v>
      </c>
      <c r="D120" s="49" t="s">
        <v>457</v>
      </c>
    </row>
    <row r="121" spans="1:4" ht="15" customHeight="1" x14ac:dyDescent="0.2">
      <c r="A121" s="49" t="s">
        <v>303</v>
      </c>
      <c r="B121" s="49" t="s">
        <v>446</v>
      </c>
      <c r="C121" s="52">
        <v>0.9</v>
      </c>
      <c r="D121" s="49"/>
    </row>
    <row r="122" spans="1:4" ht="15" customHeight="1" x14ac:dyDescent="0.2">
      <c r="A122" s="49" t="s">
        <v>447</v>
      </c>
      <c r="B122" s="49" t="s">
        <v>448</v>
      </c>
      <c r="C122" s="52">
        <v>0.98</v>
      </c>
      <c r="D122" s="49"/>
    </row>
    <row r="123" spans="1:4" ht="15" customHeight="1" x14ac:dyDescent="0.2">
      <c r="A123" s="49" t="s">
        <v>56</v>
      </c>
      <c r="B123" s="49" t="s">
        <v>449</v>
      </c>
      <c r="C123" s="49" t="s">
        <v>282</v>
      </c>
      <c r="D123" s="49"/>
    </row>
    <row r="124" spans="1:4" ht="15" customHeight="1" x14ac:dyDescent="0.2">
      <c r="A124" s="49" t="s">
        <v>458</v>
      </c>
      <c r="B124" s="49" t="s">
        <v>459</v>
      </c>
      <c r="C124" s="50">
        <v>5</v>
      </c>
      <c r="D124" s="49" t="s">
        <v>460</v>
      </c>
    </row>
    <row r="125" spans="1:4" ht="15" customHeight="1" x14ac:dyDescent="0.2">
      <c r="A125" s="49" t="s">
        <v>461</v>
      </c>
      <c r="B125" s="49" t="s">
        <v>462</v>
      </c>
      <c r="C125" s="50">
        <v>3</v>
      </c>
      <c r="D125" s="49" t="s">
        <v>463</v>
      </c>
    </row>
    <row r="126" spans="1:4" ht="15" customHeight="1" x14ac:dyDescent="0.2">
      <c r="A126" s="49" t="s">
        <v>464</v>
      </c>
      <c r="B126" s="49" t="s">
        <v>465</v>
      </c>
      <c r="C126" s="50">
        <v>30</v>
      </c>
      <c r="D126" s="49" t="s">
        <v>460</v>
      </c>
    </row>
    <row r="127" spans="1:4" ht="15" customHeight="1" x14ac:dyDescent="0.2">
      <c r="A127" s="49" t="s">
        <v>466</v>
      </c>
      <c r="B127" s="49" t="s">
        <v>467</v>
      </c>
      <c r="C127" s="50">
        <v>10</v>
      </c>
      <c r="D127" s="49" t="s">
        <v>460</v>
      </c>
    </row>
    <row r="128" spans="1:4" ht="15" customHeight="1" x14ac:dyDescent="0.2">
      <c r="A128" s="49" t="s">
        <v>468</v>
      </c>
      <c r="B128" s="49" t="s">
        <v>469</v>
      </c>
      <c r="C128" s="50">
        <v>200</v>
      </c>
      <c r="D128" s="49" t="s">
        <v>470</v>
      </c>
    </row>
    <row r="129" spans="1:7" ht="15" customHeight="1" x14ac:dyDescent="0.2">
      <c r="A129" s="49" t="s">
        <v>471</v>
      </c>
      <c r="B129" s="49" t="s">
        <v>472</v>
      </c>
      <c r="C129" s="50">
        <v>3</v>
      </c>
      <c r="D129" s="49" t="s">
        <v>460</v>
      </c>
    </row>
    <row r="131" spans="1:7" ht="15" customHeight="1" x14ac:dyDescent="0.2">
      <c r="A131" s="55" t="s">
        <v>473</v>
      </c>
      <c r="B131" s="56"/>
      <c r="C131" s="56"/>
      <c r="D131" s="56"/>
      <c r="E131" s="56"/>
      <c r="F131" s="56"/>
      <c r="G131" s="56"/>
    </row>
    <row r="132" spans="1:7" ht="15" customHeight="1" x14ac:dyDescent="0.2">
      <c r="A132" s="48" t="s">
        <v>201</v>
      </c>
      <c r="B132" s="48" t="s">
        <v>422</v>
      </c>
      <c r="C132" s="48" t="s">
        <v>423</v>
      </c>
      <c r="D132" s="48" t="s">
        <v>424</v>
      </c>
    </row>
    <row r="133" spans="1:7" ht="15" customHeight="1" x14ac:dyDescent="0.2">
      <c r="A133" s="49" t="s">
        <v>11</v>
      </c>
      <c r="B133" s="49" t="s">
        <v>425</v>
      </c>
      <c r="C133" s="49" t="s">
        <v>203</v>
      </c>
      <c r="D133" s="49"/>
    </row>
    <row r="134" spans="1:7" ht="15" customHeight="1" x14ac:dyDescent="0.2">
      <c r="A134" s="49" t="s">
        <v>14</v>
      </c>
      <c r="B134" s="49" t="s">
        <v>426</v>
      </c>
      <c r="C134" s="49" t="s">
        <v>474</v>
      </c>
      <c r="D134" s="49"/>
    </row>
    <row r="135" spans="1:7" ht="15" customHeight="1" x14ac:dyDescent="0.2">
      <c r="A135" s="49" t="s">
        <v>427</v>
      </c>
      <c r="B135" s="49" t="s">
        <v>428</v>
      </c>
      <c r="C135" s="49" t="s">
        <v>475</v>
      </c>
      <c r="D135" s="49"/>
    </row>
    <row r="136" spans="1:7" ht="15" customHeight="1" x14ac:dyDescent="0.2">
      <c r="A136" s="49" t="s">
        <v>429</v>
      </c>
      <c r="B136" s="49" t="s">
        <v>430</v>
      </c>
      <c r="C136" s="49" t="s">
        <v>476</v>
      </c>
      <c r="D136" s="49"/>
    </row>
    <row r="137" spans="1:7" ht="15" customHeight="1" x14ac:dyDescent="0.2">
      <c r="A137" s="49" t="s">
        <v>230</v>
      </c>
      <c r="B137" s="49" t="s">
        <v>431</v>
      </c>
      <c r="C137" s="49" t="s">
        <v>477</v>
      </c>
      <c r="D137" s="49"/>
    </row>
    <row r="138" spans="1:7" ht="15" customHeight="1" x14ac:dyDescent="0.2">
      <c r="A138" s="49" t="s">
        <v>261</v>
      </c>
      <c r="B138" s="49" t="s">
        <v>432</v>
      </c>
      <c r="C138" s="50">
        <v>150</v>
      </c>
      <c r="D138" s="49" t="s">
        <v>215</v>
      </c>
    </row>
    <row r="139" spans="1:7" ht="15" customHeight="1" x14ac:dyDescent="0.2">
      <c r="A139" s="49" t="s">
        <v>25</v>
      </c>
      <c r="B139" s="49" t="s">
        <v>433</v>
      </c>
      <c r="C139" s="50">
        <v>40</v>
      </c>
      <c r="D139" s="49" t="s">
        <v>215</v>
      </c>
    </row>
    <row r="140" spans="1:7" ht="15" customHeight="1" x14ac:dyDescent="0.2">
      <c r="A140" s="49" t="s">
        <v>27</v>
      </c>
      <c r="B140" s="49" t="s">
        <v>434</v>
      </c>
      <c r="C140" s="50">
        <v>5</v>
      </c>
      <c r="D140" s="49" t="s">
        <v>215</v>
      </c>
    </row>
    <row r="141" spans="1:7" ht="15" customHeight="1" x14ac:dyDescent="0.2">
      <c r="A141" s="49" t="s">
        <v>29</v>
      </c>
      <c r="B141" s="49" t="s">
        <v>435</v>
      </c>
      <c r="C141" s="50">
        <v>250</v>
      </c>
      <c r="D141" s="49" t="s">
        <v>451</v>
      </c>
    </row>
    <row r="142" spans="1:7" ht="15" customHeight="1" x14ac:dyDescent="0.2">
      <c r="A142" s="49" t="s">
        <v>236</v>
      </c>
      <c r="B142" s="49" t="s">
        <v>436</v>
      </c>
      <c r="C142" s="50">
        <v>30</v>
      </c>
      <c r="D142" s="49" t="s">
        <v>478</v>
      </c>
    </row>
    <row r="143" spans="1:7" ht="15" customHeight="1" x14ac:dyDescent="0.2">
      <c r="A143" s="49" t="s">
        <v>242</v>
      </c>
      <c r="B143" s="49" t="s">
        <v>437</v>
      </c>
      <c r="C143" s="50">
        <v>15</v>
      </c>
      <c r="D143" s="49" t="s">
        <v>478</v>
      </c>
    </row>
    <row r="144" spans="1:7" ht="15" customHeight="1" x14ac:dyDescent="0.2">
      <c r="A144" s="49" t="s">
        <v>248</v>
      </c>
      <c r="B144" s="49" t="s">
        <v>438</v>
      </c>
      <c r="C144" s="50">
        <v>50</v>
      </c>
      <c r="D144" s="49" t="s">
        <v>478</v>
      </c>
    </row>
    <row r="145" spans="1:4" ht="15" customHeight="1" x14ac:dyDescent="0.2">
      <c r="A145" s="49" t="s">
        <v>254</v>
      </c>
      <c r="B145" s="49" t="s">
        <v>439</v>
      </c>
      <c r="C145" s="50">
        <v>2</v>
      </c>
      <c r="D145" s="49" t="s">
        <v>479</v>
      </c>
    </row>
    <row r="146" spans="1:4" ht="15" customHeight="1" x14ac:dyDescent="0.2">
      <c r="A146" s="49" t="s">
        <v>179</v>
      </c>
      <c r="B146" s="49" t="s">
        <v>440</v>
      </c>
      <c r="C146" s="49" t="s">
        <v>478</v>
      </c>
      <c r="D146" s="49"/>
    </row>
    <row r="147" spans="1:4" ht="15" customHeight="1" x14ac:dyDescent="0.2">
      <c r="A147" s="49" t="s">
        <v>216</v>
      </c>
      <c r="B147" s="49" t="s">
        <v>441</v>
      </c>
      <c r="C147" s="50">
        <v>0.01</v>
      </c>
      <c r="D147" s="49"/>
    </row>
    <row r="148" spans="1:4" ht="15" customHeight="1" x14ac:dyDescent="0.2">
      <c r="A148" s="49" t="s">
        <v>191</v>
      </c>
      <c r="B148" s="49" t="s">
        <v>442</v>
      </c>
      <c r="C148" s="49" t="s">
        <v>217</v>
      </c>
      <c r="D148" s="49" t="s">
        <v>480</v>
      </c>
    </row>
    <row r="149" spans="1:4" ht="15" customHeight="1" x14ac:dyDescent="0.2">
      <c r="A149" s="49" t="s">
        <v>443</v>
      </c>
      <c r="B149" s="49" t="s">
        <v>444</v>
      </c>
      <c r="C149" s="50">
        <v>1</v>
      </c>
      <c r="D149" s="49" t="s">
        <v>481</v>
      </c>
    </row>
    <row r="150" spans="1:4" ht="15" customHeight="1" x14ac:dyDescent="0.2">
      <c r="A150" s="49" t="s">
        <v>303</v>
      </c>
      <c r="B150" s="49" t="s">
        <v>446</v>
      </c>
      <c r="C150" s="50">
        <v>0.95</v>
      </c>
      <c r="D150" s="49" t="s">
        <v>482</v>
      </c>
    </row>
    <row r="151" spans="1:4" ht="15" customHeight="1" x14ac:dyDescent="0.2">
      <c r="A151" s="49" t="s">
        <v>447</v>
      </c>
      <c r="B151" s="49" t="s">
        <v>448</v>
      </c>
      <c r="C151" s="50">
        <v>1</v>
      </c>
      <c r="D151" s="49" t="s">
        <v>483</v>
      </c>
    </row>
    <row r="152" spans="1:4" ht="15" customHeight="1" x14ac:dyDescent="0.2">
      <c r="A152" s="49" t="s">
        <v>56</v>
      </c>
      <c r="B152" s="49" t="s">
        <v>449</v>
      </c>
      <c r="C152" s="49" t="s">
        <v>484</v>
      </c>
      <c r="D152" s="49"/>
    </row>
    <row r="153" spans="1:4" ht="15" customHeight="1" x14ac:dyDescent="0.2">
      <c r="A153" s="49" t="s">
        <v>458</v>
      </c>
      <c r="B153" s="49" t="s">
        <v>459</v>
      </c>
      <c r="C153" s="50">
        <v>6</v>
      </c>
      <c r="D153" s="49" t="s">
        <v>460</v>
      </c>
    </row>
    <row r="154" spans="1:4" ht="15" customHeight="1" x14ac:dyDescent="0.2">
      <c r="A154" s="49" t="s">
        <v>461</v>
      </c>
      <c r="B154" s="49" t="s">
        <v>462</v>
      </c>
      <c r="C154" s="50">
        <v>3</v>
      </c>
      <c r="D154" s="49" t="s">
        <v>463</v>
      </c>
    </row>
    <row r="155" spans="1:4" ht="15" customHeight="1" x14ac:dyDescent="0.2">
      <c r="A155" s="49" t="s">
        <v>464</v>
      </c>
      <c r="B155" s="49" t="s">
        <v>465</v>
      </c>
      <c r="C155" s="50">
        <v>45</v>
      </c>
      <c r="D155" s="49" t="s">
        <v>485</v>
      </c>
    </row>
    <row r="156" spans="1:4" ht="15" customHeight="1" x14ac:dyDescent="0.2">
      <c r="A156" s="49" t="s">
        <v>486</v>
      </c>
      <c r="B156" s="49" t="s">
        <v>487</v>
      </c>
      <c r="C156" s="50">
        <v>10</v>
      </c>
      <c r="D156" s="49" t="s">
        <v>460</v>
      </c>
    </row>
    <row r="157" spans="1:4" ht="15" customHeight="1" x14ac:dyDescent="0.2">
      <c r="A157" s="49" t="s">
        <v>466</v>
      </c>
      <c r="B157" s="49" t="s">
        <v>467</v>
      </c>
      <c r="C157" s="50">
        <v>0</v>
      </c>
      <c r="D157" s="49" t="s">
        <v>488</v>
      </c>
    </row>
    <row r="158" spans="1:4" ht="15" customHeight="1" x14ac:dyDescent="0.2">
      <c r="A158" s="49" t="s">
        <v>468</v>
      </c>
      <c r="B158" s="49" t="s">
        <v>469</v>
      </c>
      <c r="C158" s="50">
        <v>0</v>
      </c>
      <c r="D158" s="49" t="s">
        <v>316</v>
      </c>
    </row>
    <row r="159" spans="1:4" ht="15" customHeight="1" x14ac:dyDescent="0.2">
      <c r="A159" s="49" t="s">
        <v>471</v>
      </c>
      <c r="B159" s="49" t="s">
        <v>472</v>
      </c>
      <c r="C159" s="50">
        <v>4</v>
      </c>
      <c r="D159" s="49" t="s">
        <v>460</v>
      </c>
    </row>
    <row r="161" spans="1:7" ht="15" customHeight="1" x14ac:dyDescent="0.2">
      <c r="A161" s="57" t="s">
        <v>489</v>
      </c>
      <c r="B161" s="58"/>
      <c r="C161" s="58"/>
      <c r="D161" s="58"/>
      <c r="E161" s="58"/>
      <c r="F161" s="58"/>
      <c r="G161" s="58"/>
    </row>
    <row r="162" spans="1:7" ht="15" customHeight="1" x14ac:dyDescent="0.2">
      <c r="A162" s="48" t="s">
        <v>201</v>
      </c>
      <c r="B162" s="48" t="s">
        <v>422</v>
      </c>
      <c r="C162" s="48" t="s">
        <v>423</v>
      </c>
      <c r="D162" s="48" t="s">
        <v>424</v>
      </c>
    </row>
    <row r="163" spans="1:7" ht="15" customHeight="1" x14ac:dyDescent="0.2">
      <c r="A163" s="49" t="s">
        <v>11</v>
      </c>
      <c r="B163" s="49" t="s">
        <v>425</v>
      </c>
      <c r="C163" s="49" t="s">
        <v>208</v>
      </c>
      <c r="D163" s="49"/>
    </row>
    <row r="164" spans="1:7" ht="15" customHeight="1" x14ac:dyDescent="0.2">
      <c r="A164" s="49" t="s">
        <v>14</v>
      </c>
      <c r="B164" s="49" t="s">
        <v>426</v>
      </c>
      <c r="C164" s="49" t="s">
        <v>490</v>
      </c>
      <c r="D164" s="49"/>
    </row>
    <row r="165" spans="1:7" ht="15" customHeight="1" x14ac:dyDescent="0.2">
      <c r="A165" s="49" t="s">
        <v>427</v>
      </c>
      <c r="B165" s="49" t="s">
        <v>428</v>
      </c>
      <c r="C165" s="49" t="s">
        <v>491</v>
      </c>
      <c r="D165" s="49"/>
    </row>
    <row r="166" spans="1:7" ht="15" customHeight="1" x14ac:dyDescent="0.2">
      <c r="A166" s="49" t="s">
        <v>429</v>
      </c>
      <c r="B166" s="49" t="s">
        <v>430</v>
      </c>
      <c r="C166" s="49" t="s">
        <v>492</v>
      </c>
      <c r="D166" s="49"/>
    </row>
    <row r="167" spans="1:7" ht="15" customHeight="1" x14ac:dyDescent="0.2">
      <c r="A167" s="49" t="s">
        <v>230</v>
      </c>
      <c r="B167" s="49" t="s">
        <v>431</v>
      </c>
      <c r="C167" s="49" t="s">
        <v>493</v>
      </c>
      <c r="D167" s="49"/>
    </row>
    <row r="168" spans="1:7" ht="15" customHeight="1" x14ac:dyDescent="0.2">
      <c r="A168" s="49" t="s">
        <v>261</v>
      </c>
      <c r="B168" s="49" t="s">
        <v>432</v>
      </c>
      <c r="C168" s="50">
        <v>110</v>
      </c>
      <c r="D168" s="49" t="s">
        <v>494</v>
      </c>
    </row>
    <row r="169" spans="1:7" ht="15" customHeight="1" x14ac:dyDescent="0.2">
      <c r="A169" s="49" t="s">
        <v>25</v>
      </c>
      <c r="B169" s="49" t="s">
        <v>433</v>
      </c>
      <c r="C169" s="50">
        <v>400</v>
      </c>
      <c r="D169" s="49" t="s">
        <v>494</v>
      </c>
    </row>
    <row r="170" spans="1:7" ht="15" customHeight="1" x14ac:dyDescent="0.2">
      <c r="A170" s="49" t="s">
        <v>27</v>
      </c>
      <c r="B170" s="49" t="s">
        <v>434</v>
      </c>
      <c r="C170" s="50">
        <v>280</v>
      </c>
      <c r="D170" s="49" t="s">
        <v>494</v>
      </c>
    </row>
    <row r="171" spans="1:7" ht="15" customHeight="1" x14ac:dyDescent="0.2">
      <c r="A171" s="49" t="s">
        <v>29</v>
      </c>
      <c r="B171" s="49" t="s">
        <v>435</v>
      </c>
      <c r="C171" s="50">
        <v>15</v>
      </c>
      <c r="D171" s="49" t="s">
        <v>495</v>
      </c>
    </row>
    <row r="172" spans="1:7" ht="15" customHeight="1" x14ac:dyDescent="0.2">
      <c r="A172" s="49" t="s">
        <v>236</v>
      </c>
      <c r="B172" s="49" t="s">
        <v>436</v>
      </c>
      <c r="C172" s="50">
        <v>35</v>
      </c>
      <c r="D172" s="49" t="s">
        <v>496</v>
      </c>
    </row>
    <row r="173" spans="1:7" ht="15" customHeight="1" x14ac:dyDescent="0.2">
      <c r="A173" s="49" t="s">
        <v>242</v>
      </c>
      <c r="B173" s="49" t="s">
        <v>437</v>
      </c>
      <c r="C173" s="50">
        <v>8</v>
      </c>
      <c r="D173" s="49" t="s">
        <v>497</v>
      </c>
    </row>
    <row r="174" spans="1:7" ht="15" customHeight="1" x14ac:dyDescent="0.2">
      <c r="A174" s="49" t="s">
        <v>248</v>
      </c>
      <c r="B174" s="49" t="s">
        <v>438</v>
      </c>
      <c r="C174" s="50">
        <v>15</v>
      </c>
      <c r="D174" s="49" t="s">
        <v>498</v>
      </c>
    </row>
    <row r="175" spans="1:7" ht="15" customHeight="1" x14ac:dyDescent="0.2">
      <c r="A175" s="49" t="s">
        <v>254</v>
      </c>
      <c r="B175" s="49" t="s">
        <v>439</v>
      </c>
      <c r="C175" s="50">
        <v>0.3</v>
      </c>
      <c r="D175" s="49" t="s">
        <v>499</v>
      </c>
    </row>
    <row r="176" spans="1:7" ht="15" customHeight="1" x14ac:dyDescent="0.2">
      <c r="A176" s="49" t="s">
        <v>179</v>
      </c>
      <c r="B176" s="49" t="s">
        <v>440</v>
      </c>
      <c r="C176" s="49" t="s">
        <v>456</v>
      </c>
      <c r="D176" s="49"/>
    </row>
    <row r="177" spans="1:4" ht="15" customHeight="1" x14ac:dyDescent="0.2">
      <c r="A177" s="49" t="s">
        <v>216</v>
      </c>
      <c r="B177" s="49" t="s">
        <v>441</v>
      </c>
      <c r="C177" s="50">
        <v>10</v>
      </c>
      <c r="D177" s="49"/>
    </row>
    <row r="178" spans="1:4" ht="15" customHeight="1" x14ac:dyDescent="0.2">
      <c r="A178" s="49" t="s">
        <v>191</v>
      </c>
      <c r="B178" s="49" t="s">
        <v>442</v>
      </c>
      <c r="C178" s="49" t="s">
        <v>217</v>
      </c>
      <c r="D178" s="49" t="s">
        <v>500</v>
      </c>
    </row>
    <row r="179" spans="1:4" ht="15" customHeight="1" x14ac:dyDescent="0.2">
      <c r="A179" s="49" t="s">
        <v>443</v>
      </c>
      <c r="B179" s="49" t="s">
        <v>444</v>
      </c>
      <c r="C179" s="50">
        <v>0.55000000000000004</v>
      </c>
      <c r="D179" s="49" t="s">
        <v>501</v>
      </c>
    </row>
    <row r="180" spans="1:4" ht="15" customHeight="1" x14ac:dyDescent="0.2">
      <c r="A180" s="49" t="s">
        <v>303</v>
      </c>
      <c r="B180" s="49" t="s">
        <v>446</v>
      </c>
      <c r="C180" s="50">
        <v>0.85</v>
      </c>
      <c r="D180" s="49" t="s">
        <v>502</v>
      </c>
    </row>
    <row r="181" spans="1:4" ht="15" customHeight="1" x14ac:dyDescent="0.2">
      <c r="A181" s="49" t="s">
        <v>447</v>
      </c>
      <c r="B181" s="49" t="s">
        <v>448</v>
      </c>
      <c r="C181" s="50">
        <v>1</v>
      </c>
      <c r="D181" s="49" t="s">
        <v>503</v>
      </c>
    </row>
    <row r="182" spans="1:4" ht="15" customHeight="1" x14ac:dyDescent="0.2">
      <c r="A182" s="49" t="s">
        <v>56</v>
      </c>
      <c r="B182" s="49" t="s">
        <v>449</v>
      </c>
      <c r="C182" s="49" t="s">
        <v>484</v>
      </c>
      <c r="D182" s="49" t="s">
        <v>504</v>
      </c>
    </row>
    <row r="183" spans="1:4" ht="15" customHeight="1" x14ac:dyDescent="0.2">
      <c r="A183" s="49" t="s">
        <v>458</v>
      </c>
      <c r="B183" s="49" t="s">
        <v>459</v>
      </c>
      <c r="C183" s="50">
        <v>3</v>
      </c>
      <c r="D183" s="49" t="s">
        <v>460</v>
      </c>
    </row>
    <row r="184" spans="1:4" ht="15" customHeight="1" x14ac:dyDescent="0.2">
      <c r="A184" s="49" t="s">
        <v>461</v>
      </c>
      <c r="B184" s="49" t="s">
        <v>462</v>
      </c>
      <c r="C184" s="50">
        <v>2.5</v>
      </c>
      <c r="D184" s="49" t="s">
        <v>463</v>
      </c>
    </row>
    <row r="185" spans="1:4" ht="15" customHeight="1" x14ac:dyDescent="0.2">
      <c r="A185" s="49" t="s">
        <v>464</v>
      </c>
      <c r="B185" s="49" t="s">
        <v>465</v>
      </c>
      <c r="C185" s="50">
        <v>20</v>
      </c>
      <c r="D185" s="49" t="s">
        <v>460</v>
      </c>
    </row>
    <row r="186" spans="1:4" ht="15" customHeight="1" x14ac:dyDescent="0.2">
      <c r="A186" s="49" t="s">
        <v>486</v>
      </c>
      <c r="B186" s="49" t="s">
        <v>487</v>
      </c>
      <c r="C186" s="50">
        <v>5</v>
      </c>
      <c r="D186" s="49" t="s">
        <v>460</v>
      </c>
    </row>
    <row r="187" spans="1:4" ht="15" customHeight="1" x14ac:dyDescent="0.2">
      <c r="A187" s="49" t="s">
        <v>466</v>
      </c>
      <c r="B187" s="49" t="s">
        <v>467</v>
      </c>
      <c r="C187" s="50">
        <v>0</v>
      </c>
      <c r="D187" s="49" t="s">
        <v>505</v>
      </c>
    </row>
    <row r="188" spans="1:4" ht="15" customHeight="1" x14ac:dyDescent="0.2">
      <c r="A188" s="49" t="s">
        <v>468</v>
      </c>
      <c r="B188" s="49" t="s">
        <v>469</v>
      </c>
      <c r="C188" s="50">
        <v>0</v>
      </c>
      <c r="D188" s="49" t="s">
        <v>503</v>
      </c>
    </row>
    <row r="189" spans="1:4" ht="15" customHeight="1" x14ac:dyDescent="0.2">
      <c r="A189" s="49" t="s">
        <v>471</v>
      </c>
      <c r="B189" s="49" t="s">
        <v>472</v>
      </c>
      <c r="C189" s="50">
        <v>2</v>
      </c>
      <c r="D189" s="49" t="s">
        <v>460</v>
      </c>
    </row>
    <row r="190" spans="1:4" ht="15" customHeight="1" x14ac:dyDescent="0.2">
      <c r="A190" s="49" t="s">
        <v>506</v>
      </c>
      <c r="B190" s="49" t="s">
        <v>507</v>
      </c>
      <c r="C190" s="50">
        <v>2</v>
      </c>
      <c r="D190" s="49" t="s">
        <v>508</v>
      </c>
    </row>
  </sheetData>
  <pageMargins left="0.75" right="0.75" top="1" bottom="1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843C0C"/>
  </sheetPr>
  <dimension ref="A1:V21"/>
  <sheetViews>
    <sheetView zoomScaleNormal="100" workbookViewId="0"/>
  </sheetViews>
  <sheetFormatPr baseColWidth="10" defaultColWidth="8.6640625" defaultRowHeight="15" x14ac:dyDescent="0.2"/>
  <cols>
    <col min="1" max="1" width="44" customWidth="1"/>
    <col min="2" max="9" width="16" customWidth="1"/>
  </cols>
  <sheetData>
    <row r="1" spans="1:22" ht="17.25" customHeight="1" x14ac:dyDescent="0.2">
      <c r="A1" s="2" t="s">
        <v>509</v>
      </c>
    </row>
    <row r="2" spans="1:22" ht="15" customHeight="1" x14ac:dyDescent="0.2">
      <c r="A2" s="12" t="s">
        <v>510</v>
      </c>
    </row>
    <row r="4" spans="1:22" ht="15" customHeight="1" x14ac:dyDescent="0.2">
      <c r="A4" s="3" t="s">
        <v>511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</row>
    <row r="5" spans="1:22" ht="15" customHeight="1" x14ac:dyDescent="0.2">
      <c r="A5" s="59" t="s">
        <v>512</v>
      </c>
      <c r="B5" s="59" t="s">
        <v>513</v>
      </c>
      <c r="C5" s="59" t="s">
        <v>514</v>
      </c>
      <c r="D5" s="59" t="s">
        <v>515</v>
      </c>
      <c r="E5" s="59" t="s">
        <v>516</v>
      </c>
      <c r="F5" s="59" t="s">
        <v>517</v>
      </c>
      <c r="G5" s="59" t="s">
        <v>518</v>
      </c>
      <c r="H5" s="59" t="s">
        <v>519</v>
      </c>
    </row>
    <row r="6" spans="1:22" ht="15" customHeight="1" x14ac:dyDescent="0.2">
      <c r="A6" s="5" t="s">
        <v>520</v>
      </c>
      <c r="B6" s="60">
        <v>25</v>
      </c>
      <c r="C6" s="61">
        <v>4.2</v>
      </c>
      <c r="D6" s="61">
        <v>2.6</v>
      </c>
      <c r="E6" s="61">
        <v>0.32</v>
      </c>
      <c r="F6" s="61">
        <v>0.16</v>
      </c>
      <c r="G6" s="62">
        <f>B6*C6/Assumptions!B160</f>
        <v>3.375825871686466</v>
      </c>
      <c r="H6" s="62">
        <f>B6*(C6+D6+E6+F6)/Assumptions!B160</f>
        <v>5.8514315109232085</v>
      </c>
    </row>
    <row r="7" spans="1:22" ht="15" customHeight="1" x14ac:dyDescent="0.2">
      <c r="A7" s="5" t="s">
        <v>521</v>
      </c>
      <c r="B7" s="60">
        <v>35</v>
      </c>
      <c r="C7" s="61">
        <v>3.8</v>
      </c>
      <c r="D7" s="61">
        <v>2.4</v>
      </c>
      <c r="E7" s="61">
        <v>0.28000000000000003</v>
      </c>
      <c r="F7" s="61">
        <v>0.14000000000000001</v>
      </c>
      <c r="G7" s="62">
        <f>B7*C7/Assumptions!B160</f>
        <v>4.2760461041361904</v>
      </c>
      <c r="H7" s="62">
        <f>B7*(C7+D7+E7+F7)/Assumptions!B160</f>
        <v>7.4493224235214672</v>
      </c>
    </row>
    <row r="8" spans="1:22" ht="15" customHeight="1" x14ac:dyDescent="0.2">
      <c r="A8" s="35" t="s">
        <v>522</v>
      </c>
      <c r="B8" s="63">
        <f>B6+B7</f>
        <v>60</v>
      </c>
      <c r="C8" s="64">
        <f>IF(B8&gt;0,(B6*C6+B7*C7)/B8,0)</f>
        <v>3.9666666666666668</v>
      </c>
      <c r="D8" s="64">
        <f>IF(B8&gt;0,(B6*D6+B7*D7)/B8,0)</f>
        <v>2.4833333333333334</v>
      </c>
      <c r="E8" s="64">
        <f>IF(B8&gt;0,(B6*E6+B7*E7)/B8,0)</f>
        <v>0.29666666666666669</v>
      </c>
      <c r="F8" s="64">
        <f>IF(B8&gt;0,(B6*F6+B7*F7)/B8,0)</f>
        <v>0.14833333333333334</v>
      </c>
      <c r="G8" s="64">
        <f>B8*C8/Assumptions!B160</f>
        <v>7.6518719758226563</v>
      </c>
      <c r="H8" s="64">
        <f>B8*(C8+D8+E8+F8)/Assumptions!B160</f>
        <v>13.300753934444678</v>
      </c>
    </row>
    <row r="9" spans="1:22" ht="15" customHeight="1" x14ac:dyDescent="0.2">
      <c r="A9" s="5" t="s">
        <v>523</v>
      </c>
      <c r="B9" s="60">
        <v>15</v>
      </c>
      <c r="C9" s="61">
        <v>3.2</v>
      </c>
      <c r="D9" s="61">
        <v>2</v>
      </c>
      <c r="E9" s="61">
        <v>0.22</v>
      </c>
      <c r="F9" s="61">
        <v>0.1</v>
      </c>
      <c r="G9" s="62">
        <f>B9*C9/Assumptions!B160</f>
        <v>1.5432346841995275</v>
      </c>
      <c r="H9" s="62">
        <f>B9*(C9+D9+E9+F9)/Assumptions!B160</f>
        <v>2.6620798302441848</v>
      </c>
    </row>
    <row r="10" spans="1:22" ht="15" customHeight="1" x14ac:dyDescent="0.2">
      <c r="A10" s="35" t="s">
        <v>524</v>
      </c>
      <c r="B10" s="65">
        <f>B8+B9</f>
        <v>75</v>
      </c>
      <c r="C10" s="66">
        <f>IF(B10&gt;0,(B8*C8+B9*C9)/B10,0)</f>
        <v>3.8133333333333335</v>
      </c>
      <c r="D10" s="66">
        <f>IF(B10&gt;0,(B8*D8+B9*D9)/B10,0)</f>
        <v>2.3866666666666667</v>
      </c>
      <c r="E10" s="66">
        <f>IF(B10&gt;0,(B8*E8+B9*E9)/B10,0)</f>
        <v>0.28133333333333338</v>
      </c>
      <c r="F10" s="66">
        <f>IF(B10&gt;0,(B8*F8+B9*F9)/B10,0)</f>
        <v>0.13866666666666666</v>
      </c>
      <c r="G10" s="66">
        <f>B10*C10/Assumptions!B160</f>
        <v>9.1951066600221836</v>
      </c>
      <c r="H10" s="66">
        <f>B10*(C10+D10+E10+F10)/Assumptions!B160</f>
        <v>15.962833764688861</v>
      </c>
    </row>
    <row r="12" spans="1:22" ht="15" customHeight="1" x14ac:dyDescent="0.2">
      <c r="A12" s="19" t="s">
        <v>525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</row>
    <row r="13" spans="1:22" ht="15" customHeight="1" x14ac:dyDescent="0.2">
      <c r="A13" s="59" t="s">
        <v>512</v>
      </c>
      <c r="B13" s="59" t="s">
        <v>513</v>
      </c>
      <c r="C13" s="59" t="s">
        <v>514</v>
      </c>
      <c r="D13" s="59" t="s">
        <v>515</v>
      </c>
      <c r="E13" s="59" t="s">
        <v>516</v>
      </c>
      <c r="F13" s="59" t="s">
        <v>517</v>
      </c>
      <c r="G13" s="59" t="s">
        <v>518</v>
      </c>
      <c r="H13" s="59" t="s">
        <v>519</v>
      </c>
    </row>
    <row r="14" spans="1:22" ht="15" customHeight="1" x14ac:dyDescent="0.2">
      <c r="A14" s="5" t="s">
        <v>526</v>
      </c>
      <c r="B14" s="8">
        <v>0.85</v>
      </c>
      <c r="C14" s="12" t="s">
        <v>527</v>
      </c>
    </row>
    <row r="15" spans="1:22" ht="15" customHeight="1" x14ac:dyDescent="0.2">
      <c r="A15" s="5" t="s">
        <v>528</v>
      </c>
      <c r="B15" s="62">
        <f>B6*$B$14</f>
        <v>21.25</v>
      </c>
      <c r="C15" s="67">
        <f t="shared" ref="C15:F16" si="0">C6</f>
        <v>4.2</v>
      </c>
      <c r="D15" s="67">
        <f t="shared" si="0"/>
        <v>2.6</v>
      </c>
      <c r="E15" s="67">
        <f t="shared" si="0"/>
        <v>0.32</v>
      </c>
      <c r="F15" s="67">
        <f t="shared" si="0"/>
        <v>0.16</v>
      </c>
      <c r="G15" s="68">
        <f>B15*C15/Assumptions!B160</f>
        <v>2.8694519909334963</v>
      </c>
      <c r="H15" s="68">
        <f>B15*(C15+D15+E15+F15)/Assumptions!B160</f>
        <v>4.9737167842847274</v>
      </c>
    </row>
    <row r="16" spans="1:22" ht="15" customHeight="1" x14ac:dyDescent="0.2">
      <c r="A16" s="5" t="s">
        <v>529</v>
      </c>
      <c r="B16" s="62">
        <f>B7*$B$14</f>
        <v>29.75</v>
      </c>
      <c r="C16" s="67">
        <f t="shared" si="0"/>
        <v>3.8</v>
      </c>
      <c r="D16" s="67">
        <f t="shared" si="0"/>
        <v>2.4</v>
      </c>
      <c r="E16" s="67">
        <f t="shared" si="0"/>
        <v>0.28000000000000003</v>
      </c>
      <c r="F16" s="67">
        <f t="shared" si="0"/>
        <v>0.14000000000000001</v>
      </c>
      <c r="G16" s="68">
        <f>B16*C16/Assumptions!B160</f>
        <v>3.6346391885157616</v>
      </c>
      <c r="H16" s="68">
        <f>B16*(C16+D16+E16+F16)/Assumptions!B160</f>
        <v>6.3319240599932467</v>
      </c>
    </row>
    <row r="17" spans="1:8" ht="15" customHeight="1" x14ac:dyDescent="0.2">
      <c r="A17" s="35" t="s">
        <v>530</v>
      </c>
      <c r="B17" s="65">
        <f>B15+B16</f>
        <v>51</v>
      </c>
      <c r="C17" s="66">
        <f>IF(B17&gt;0,(B15*C15+B16*C16)/B17,0)</f>
        <v>3.9666666666666668</v>
      </c>
      <c r="D17" s="66">
        <f>IF(B17&gt;0,(B15*D15+B16*D16)/B17,0)</f>
        <v>2.4833333333333329</v>
      </c>
      <c r="E17" s="66">
        <f>IF(B17&gt;0,(B15*E15+B16*E16)/B17,0)</f>
        <v>0.29666666666666663</v>
      </c>
      <c r="F17" s="66">
        <f>IF(B17&gt;0,(B15*F15+B16*F16)/B17,0)</f>
        <v>0.14833333333333332</v>
      </c>
      <c r="G17" s="65">
        <f>B17*C17/Assumptions!B160</f>
        <v>6.5040911794492589</v>
      </c>
      <c r="H17" s="65">
        <f>B17*(C17+D17+E17+F17)/Assumptions!B160</f>
        <v>11.305640844277974</v>
      </c>
    </row>
    <row r="18" spans="1:8" ht="15" customHeight="1" x14ac:dyDescent="0.2">
      <c r="A18" s="5"/>
    </row>
    <row r="19" spans="1:8" ht="15" customHeight="1" x14ac:dyDescent="0.2">
      <c r="A19" s="5" t="s">
        <v>531</v>
      </c>
    </row>
    <row r="20" spans="1:8" ht="15" customHeight="1" x14ac:dyDescent="0.2">
      <c r="A20" s="5" t="s">
        <v>532</v>
      </c>
      <c r="B20" s="62">
        <f>B17*Assumptions!B28</f>
        <v>20.400000000000002</v>
      </c>
    </row>
    <row r="21" spans="1:8" ht="15" customHeight="1" x14ac:dyDescent="0.2">
      <c r="A21" s="5" t="s">
        <v>533</v>
      </c>
      <c r="B21" s="62">
        <f>B17*Assumptions!B29</f>
        <v>30.599999999999998</v>
      </c>
    </row>
  </sheetData>
  <pageMargins left="0.75" right="0.75" top="1" bottom="1" header="0.511811023622047" footer="0.511811023622047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BF8F00"/>
  </sheetPr>
  <dimension ref="A1:V43"/>
  <sheetViews>
    <sheetView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baseColWidth="10" defaultColWidth="8.6640625" defaultRowHeight="15" x14ac:dyDescent="0.2"/>
  <cols>
    <col min="1" max="1" width="44" customWidth="1"/>
    <col min="2" max="22" width="14" customWidth="1"/>
  </cols>
  <sheetData>
    <row r="1" spans="1:22" ht="17.25" customHeight="1" x14ac:dyDescent="0.2">
      <c r="A1" s="2" t="s">
        <v>534</v>
      </c>
    </row>
    <row r="3" spans="1:22" ht="15" customHeight="1" x14ac:dyDescent="0.2">
      <c r="A3" s="39" t="s">
        <v>535</v>
      </c>
      <c r="B3" s="69">
        <f>Assumptions!B5+0</f>
        <v>3</v>
      </c>
      <c r="C3" s="69">
        <f>Assumptions!B5+1</f>
        <v>4</v>
      </c>
      <c r="D3" s="69">
        <f>Assumptions!B5+2</f>
        <v>5</v>
      </c>
      <c r="E3" s="69">
        <f>Assumptions!B5+3</f>
        <v>6</v>
      </c>
      <c r="F3" s="69">
        <f>Assumptions!B5+4</f>
        <v>7</v>
      </c>
      <c r="G3" s="69">
        <f>Assumptions!B5+5</f>
        <v>8</v>
      </c>
      <c r="H3" s="69">
        <f>Assumptions!B5+6</f>
        <v>9</v>
      </c>
      <c r="I3" s="69">
        <f>Assumptions!B5+7</f>
        <v>10</v>
      </c>
      <c r="J3" s="69">
        <f>Assumptions!B5+8</f>
        <v>11</v>
      </c>
      <c r="K3" s="69">
        <f>Assumptions!B5+9</f>
        <v>12</v>
      </c>
      <c r="L3" s="69">
        <f>Assumptions!B5+10</f>
        <v>13</v>
      </c>
      <c r="M3" s="69">
        <f>Assumptions!B5+11</f>
        <v>14</v>
      </c>
      <c r="N3" s="69">
        <f>Assumptions!B5+12</f>
        <v>15</v>
      </c>
      <c r="O3" s="69">
        <f>Assumptions!B5+13</f>
        <v>16</v>
      </c>
      <c r="P3" s="69">
        <f>Assumptions!B5+14</f>
        <v>17</v>
      </c>
      <c r="Q3" s="69">
        <f>Assumptions!B5+15</f>
        <v>18</v>
      </c>
      <c r="R3" s="69">
        <f>Assumptions!B5+16</f>
        <v>19</v>
      </c>
      <c r="S3" s="69">
        <f>Assumptions!B5+17</f>
        <v>20</v>
      </c>
      <c r="T3" s="69">
        <f>Assumptions!B5+18</f>
        <v>21</v>
      </c>
      <c r="U3" s="69">
        <f>Assumptions!B5+19</f>
        <v>22</v>
      </c>
      <c r="V3" s="69">
        <f>Assumptions!B5+20</f>
        <v>23</v>
      </c>
    </row>
    <row r="4" spans="1:22" ht="15" customHeight="1" x14ac:dyDescent="0.2">
      <c r="A4" s="7" t="s">
        <v>536</v>
      </c>
      <c r="B4" s="70">
        <v>0</v>
      </c>
      <c r="C4" s="70">
        <v>1</v>
      </c>
      <c r="D4" s="70">
        <v>2</v>
      </c>
      <c r="E4" s="70">
        <v>3</v>
      </c>
      <c r="F4" s="70">
        <v>4</v>
      </c>
      <c r="G4" s="70">
        <v>5</v>
      </c>
      <c r="H4" s="70">
        <v>6</v>
      </c>
      <c r="I4" s="70">
        <v>7</v>
      </c>
      <c r="J4" s="70">
        <v>8</v>
      </c>
      <c r="K4" s="70">
        <v>9</v>
      </c>
      <c r="L4" s="70">
        <v>10</v>
      </c>
      <c r="M4" s="70">
        <v>11</v>
      </c>
      <c r="N4" s="70">
        <v>12</v>
      </c>
      <c r="O4" s="70">
        <v>13</v>
      </c>
      <c r="P4" s="70">
        <v>14</v>
      </c>
      <c r="Q4" s="70">
        <v>15</v>
      </c>
      <c r="R4" s="70">
        <v>16</v>
      </c>
      <c r="S4" s="70">
        <v>17</v>
      </c>
      <c r="T4" s="70">
        <v>18</v>
      </c>
      <c r="U4" s="70">
        <v>19</v>
      </c>
      <c r="V4" s="70">
        <v>20</v>
      </c>
    </row>
    <row r="6" spans="1:22" ht="15" customHeight="1" x14ac:dyDescent="0.2">
      <c r="A6" s="3" t="s">
        <v>537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ht="15" customHeight="1" x14ac:dyDescent="0.2">
      <c r="A7" s="5" t="s">
        <v>538</v>
      </c>
      <c r="B7" s="71">
        <f>IF(B4&lt;Assumptions!B5,1,0)</f>
        <v>1</v>
      </c>
      <c r="C7" s="71">
        <f>IF(C4&lt;Assumptions!B5,1,0)</f>
        <v>1</v>
      </c>
      <c r="D7" s="71">
        <f>IF(D4&lt;Assumptions!B5,1,0)</f>
        <v>1</v>
      </c>
      <c r="E7" s="71">
        <f>IF(E4&lt;Assumptions!B5,1,0)</f>
        <v>0</v>
      </c>
      <c r="F7" s="71">
        <f>IF(F4&lt;Assumptions!B5,1,0)</f>
        <v>0</v>
      </c>
      <c r="G7" s="71">
        <f>IF(G4&lt;Assumptions!B5,1,0)</f>
        <v>0</v>
      </c>
      <c r="H7" s="71">
        <f>IF(H4&lt;Assumptions!B5,1,0)</f>
        <v>0</v>
      </c>
      <c r="I7" s="71">
        <f>IF(I4&lt;Assumptions!B5,1,0)</f>
        <v>0</v>
      </c>
      <c r="J7" s="71">
        <f>IF(J4&lt;Assumptions!B5,1,0)</f>
        <v>0</v>
      </c>
      <c r="K7" s="71">
        <f>IF(K4&lt;Assumptions!B5,1,0)</f>
        <v>0</v>
      </c>
      <c r="L7" s="71">
        <f>IF(L4&lt;Assumptions!B5,1,0)</f>
        <v>0</v>
      </c>
      <c r="M7" s="71">
        <f>IF(M4&lt;Assumptions!B5,1,0)</f>
        <v>0</v>
      </c>
      <c r="N7" s="71">
        <f>IF(N4&lt;Assumptions!B5,1,0)</f>
        <v>0</v>
      </c>
      <c r="O7" s="71">
        <f>IF(O4&lt;Assumptions!B5,1,0)</f>
        <v>0</v>
      </c>
      <c r="P7" s="71">
        <f>IF(P4&lt;Assumptions!B5,1,0)</f>
        <v>0</v>
      </c>
      <c r="Q7" s="71">
        <f>IF(Q4&lt;Assumptions!B5,1,0)</f>
        <v>0</v>
      </c>
      <c r="R7" s="71">
        <f>IF(R4&lt;Assumptions!B5,1,0)</f>
        <v>0</v>
      </c>
      <c r="S7" s="71">
        <f>IF(S4&lt;Assumptions!B5,1,0)</f>
        <v>0</v>
      </c>
      <c r="T7" s="71">
        <f>IF(T4&lt;Assumptions!B5,1,0)</f>
        <v>0</v>
      </c>
      <c r="U7" s="71">
        <f>IF(U4&lt;Assumptions!B5,1,0)</f>
        <v>0</v>
      </c>
      <c r="V7" s="71">
        <f>IF(V4&lt;Assumptions!B5,1,0)</f>
        <v>0</v>
      </c>
    </row>
    <row r="8" spans="1:22" ht="15" customHeight="1" x14ac:dyDescent="0.2">
      <c r="A8" s="5" t="s">
        <v>539</v>
      </c>
      <c r="B8" s="71">
        <f>IF(AND(B4&gt;=Assumptions!B5,B4&lt;Assumptions!B5+Assumptions!B6),1,0)</f>
        <v>0</v>
      </c>
      <c r="C8" s="71">
        <f>IF(AND(C4&gt;=Assumptions!B5,C4&lt;Assumptions!B5+Assumptions!B6),1,0)</f>
        <v>0</v>
      </c>
      <c r="D8" s="71">
        <f>IF(AND(D4&gt;=Assumptions!B5,D4&lt;Assumptions!B5+Assumptions!B6),1,0)</f>
        <v>0</v>
      </c>
      <c r="E8" s="71">
        <f>IF(AND(E4&gt;=Assumptions!B5,E4&lt;Assumptions!B5+Assumptions!B6),1,0)</f>
        <v>1</v>
      </c>
      <c r="F8" s="71">
        <f>IF(AND(F4&gt;=Assumptions!B5,F4&lt;Assumptions!B5+Assumptions!B6),1,0)</f>
        <v>1</v>
      </c>
      <c r="G8" s="71">
        <f>IF(AND(G4&gt;=Assumptions!B5,G4&lt;Assumptions!B5+Assumptions!B6),1,0)</f>
        <v>1</v>
      </c>
      <c r="H8" s="71">
        <f>IF(AND(H4&gt;=Assumptions!B5,H4&lt;Assumptions!B5+Assumptions!B6),1,0)</f>
        <v>1</v>
      </c>
      <c r="I8" s="71">
        <f>IF(AND(I4&gt;=Assumptions!B5,I4&lt;Assumptions!B5+Assumptions!B6),1,0)</f>
        <v>1</v>
      </c>
      <c r="J8" s="71">
        <f>IF(AND(J4&gt;=Assumptions!B5,J4&lt;Assumptions!B5+Assumptions!B6),1,0)</f>
        <v>1</v>
      </c>
      <c r="K8" s="71">
        <f>IF(AND(K4&gt;=Assumptions!B5,K4&lt;Assumptions!B5+Assumptions!B6),1,0)</f>
        <v>1</v>
      </c>
      <c r="L8" s="71">
        <f>IF(AND(L4&gt;=Assumptions!B5,L4&lt;Assumptions!B5+Assumptions!B6),1,0)</f>
        <v>1</v>
      </c>
      <c r="M8" s="71">
        <f>IF(AND(M4&gt;=Assumptions!B5,M4&lt;Assumptions!B5+Assumptions!B6),1,0)</f>
        <v>1</v>
      </c>
      <c r="N8" s="71">
        <f>IF(AND(N4&gt;=Assumptions!B5,N4&lt;Assumptions!B5+Assumptions!B6),1,0)</f>
        <v>1</v>
      </c>
      <c r="O8" s="71">
        <f>IF(AND(O4&gt;=Assumptions!B5,O4&lt;Assumptions!B5+Assumptions!B6),1,0)</f>
        <v>1</v>
      </c>
      <c r="P8" s="71">
        <f>IF(AND(P4&gt;=Assumptions!B5,P4&lt;Assumptions!B5+Assumptions!B6),1,0)</f>
        <v>1</v>
      </c>
      <c r="Q8" s="71">
        <f>IF(AND(Q4&gt;=Assumptions!B5,Q4&lt;Assumptions!B5+Assumptions!B6),1,0)</f>
        <v>1</v>
      </c>
      <c r="R8" s="71">
        <f>IF(AND(R4&gt;=Assumptions!B5,R4&lt;Assumptions!B5+Assumptions!B6),1,0)</f>
        <v>1</v>
      </c>
      <c r="S8" s="71">
        <f>IF(AND(S4&gt;=Assumptions!B5,S4&lt;Assumptions!B5+Assumptions!B6),1,0)</f>
        <v>1</v>
      </c>
      <c r="T8" s="71">
        <f>IF(AND(T4&gt;=Assumptions!B5,T4&lt;Assumptions!B5+Assumptions!B6),1,0)</f>
        <v>1</v>
      </c>
      <c r="U8" s="71">
        <f>IF(AND(U4&gt;=Assumptions!B5,U4&lt;Assumptions!B5+Assumptions!B6),1,0)</f>
        <v>1</v>
      </c>
      <c r="V8" s="71">
        <f>IF(AND(V4&gt;=Assumptions!B5,V4&lt;Assumptions!B5+Assumptions!B6),1,0)</f>
        <v>0</v>
      </c>
    </row>
    <row r="9" spans="1:22" ht="15" customHeight="1" x14ac:dyDescent="0.2">
      <c r="A9" s="5" t="s">
        <v>540</v>
      </c>
      <c r="B9" s="71">
        <f>IF(B8=1,B4-Assumptions!B5+1,0)</f>
        <v>0</v>
      </c>
      <c r="C9" s="71">
        <f>IF(C8=1,C4-Assumptions!B5+1,0)</f>
        <v>0</v>
      </c>
      <c r="D9" s="71">
        <f>IF(D8=1,D4-Assumptions!B5+1,0)</f>
        <v>0</v>
      </c>
      <c r="E9" s="71">
        <f>IF(E8=1,E4-Assumptions!B5+1,0)</f>
        <v>1</v>
      </c>
      <c r="F9" s="71">
        <f>IF(F8=1,F4-Assumptions!B5+1,0)</f>
        <v>2</v>
      </c>
      <c r="G9" s="71">
        <f>IF(G8=1,G4-Assumptions!B5+1,0)</f>
        <v>3</v>
      </c>
      <c r="H9" s="71">
        <f>IF(H8=1,H4-Assumptions!B5+1,0)</f>
        <v>4</v>
      </c>
      <c r="I9" s="71">
        <f>IF(I8=1,I4-Assumptions!B5+1,0)</f>
        <v>5</v>
      </c>
      <c r="J9" s="71">
        <f>IF(J8=1,J4-Assumptions!B5+1,0)</f>
        <v>6</v>
      </c>
      <c r="K9" s="71">
        <f>IF(K8=1,K4-Assumptions!B5+1,0)</f>
        <v>7</v>
      </c>
      <c r="L9" s="71">
        <f>IF(L8=1,L4-Assumptions!B5+1,0)</f>
        <v>8</v>
      </c>
      <c r="M9" s="71">
        <f>IF(M8=1,M4-Assumptions!B5+1,0)</f>
        <v>9</v>
      </c>
      <c r="N9" s="71">
        <f>IF(N8=1,N4-Assumptions!B5+1,0)</f>
        <v>10</v>
      </c>
      <c r="O9" s="71">
        <f>IF(O8=1,O4-Assumptions!B5+1,0)</f>
        <v>11</v>
      </c>
      <c r="P9" s="71">
        <f>IF(P8=1,P4-Assumptions!B5+1,0)</f>
        <v>12</v>
      </c>
      <c r="Q9" s="71">
        <f>IF(Q8=1,Q4-Assumptions!B5+1,0)</f>
        <v>13</v>
      </c>
      <c r="R9" s="71">
        <f>IF(R8=1,R4-Assumptions!B5+1,0)</f>
        <v>14</v>
      </c>
      <c r="S9" s="71">
        <f>IF(S8=1,S4-Assumptions!B5+1,0)</f>
        <v>15</v>
      </c>
      <c r="T9" s="71">
        <f>IF(T8=1,T4-Assumptions!B5+1,0)</f>
        <v>16</v>
      </c>
      <c r="U9" s="71">
        <f>IF(U8=1,U4-Assumptions!B5+1,0)</f>
        <v>17</v>
      </c>
      <c r="V9" s="71">
        <f>IF(V8=1,V4-Assumptions!B5+1,0)</f>
        <v>0</v>
      </c>
    </row>
    <row r="10" spans="1:22" ht="15" customHeight="1" x14ac:dyDescent="0.2">
      <c r="A10" s="5" t="s">
        <v>541</v>
      </c>
      <c r="B10" s="72">
        <f>IF(B8=0,0,IF(B9=1,Assumptions!B53,IF(B9=2,Assumptions!B54,IF(B9=3,Assumptions!B55,Assumptions!B56))))</f>
        <v>0</v>
      </c>
      <c r="C10" s="72">
        <f>IF(C8=0,0,IF(C9=1,Assumptions!B53,IF(C9=2,Assumptions!B54,IF(C9=3,Assumptions!B55,Assumptions!B56))))</f>
        <v>0</v>
      </c>
      <c r="D10" s="72">
        <f>IF(D8=0,0,IF(D9=1,Assumptions!B53,IF(D9=2,Assumptions!B54,IF(D9=3,Assumptions!B55,Assumptions!B56))))</f>
        <v>0</v>
      </c>
      <c r="E10" s="72">
        <f>IF(E8=0,0,IF(E9=1,Assumptions!B53,IF(E9=2,Assumptions!B54,IF(E9=3,Assumptions!B55,Assumptions!B56))))</f>
        <v>0.5</v>
      </c>
      <c r="F10" s="72">
        <f>IF(F8=0,0,IF(F9=1,Assumptions!B53,IF(F9=2,Assumptions!B54,IF(F9=3,Assumptions!B55,Assumptions!B56))))</f>
        <v>0.75</v>
      </c>
      <c r="G10" s="72">
        <f>IF(G8=0,0,IF(G9=1,Assumptions!B53,IF(G9=2,Assumptions!B54,IF(G9=3,Assumptions!B55,Assumptions!B56))))</f>
        <v>0.9</v>
      </c>
      <c r="H10" s="72">
        <f>IF(H8=0,0,IF(H9=1,Assumptions!B53,IF(H9=2,Assumptions!B54,IF(H9=3,Assumptions!B55,Assumptions!B56))))</f>
        <v>1</v>
      </c>
      <c r="I10" s="72">
        <f>IF(I8=0,0,IF(I9=1,Assumptions!B53,IF(I9=2,Assumptions!B54,IF(I9=3,Assumptions!B55,Assumptions!B56))))</f>
        <v>1</v>
      </c>
      <c r="J10" s="72">
        <f>IF(J8=0,0,IF(J9=1,Assumptions!B53,IF(J9=2,Assumptions!B54,IF(J9=3,Assumptions!B55,Assumptions!B56))))</f>
        <v>1</v>
      </c>
      <c r="K10" s="72">
        <f>IF(K8=0,0,IF(K9=1,Assumptions!B53,IF(K9=2,Assumptions!B54,IF(K9=3,Assumptions!B55,Assumptions!B56))))</f>
        <v>1</v>
      </c>
      <c r="L10" s="72">
        <f>IF(L8=0,0,IF(L9=1,Assumptions!B53,IF(L9=2,Assumptions!B54,IF(L9=3,Assumptions!B55,Assumptions!B56))))</f>
        <v>1</v>
      </c>
      <c r="M10" s="72">
        <f>IF(M8=0,0,IF(M9=1,Assumptions!B53,IF(M9=2,Assumptions!B54,IF(M9=3,Assumptions!B55,Assumptions!B56))))</f>
        <v>1</v>
      </c>
      <c r="N10" s="72">
        <f>IF(N8=0,0,IF(N9=1,Assumptions!B53,IF(N9=2,Assumptions!B54,IF(N9=3,Assumptions!B55,Assumptions!B56))))</f>
        <v>1</v>
      </c>
      <c r="O10" s="72">
        <f>IF(O8=0,0,IF(O9=1,Assumptions!B53,IF(O9=2,Assumptions!B54,IF(O9=3,Assumptions!B55,Assumptions!B56))))</f>
        <v>1</v>
      </c>
      <c r="P10" s="72">
        <f>IF(P8=0,0,IF(P9=1,Assumptions!B53,IF(P9=2,Assumptions!B54,IF(P9=3,Assumptions!B55,Assumptions!B56))))</f>
        <v>1</v>
      </c>
      <c r="Q10" s="72">
        <f>IF(Q8=0,0,IF(Q9=1,Assumptions!B53,IF(Q9=2,Assumptions!B54,IF(Q9=3,Assumptions!B55,Assumptions!B56))))</f>
        <v>1</v>
      </c>
      <c r="R10" s="72">
        <f>IF(R8=0,0,IF(R9=1,Assumptions!B53,IF(R9=2,Assumptions!B54,IF(R9=3,Assumptions!B55,Assumptions!B56))))</f>
        <v>1</v>
      </c>
      <c r="S10" s="72">
        <f>IF(S8=0,0,IF(S9=1,Assumptions!B53,IF(S9=2,Assumptions!B54,IF(S9=3,Assumptions!B55,Assumptions!B56))))</f>
        <v>1</v>
      </c>
      <c r="T10" s="72">
        <f>IF(T8=0,0,IF(T9=1,Assumptions!B53,IF(T9=2,Assumptions!B54,IF(T9=3,Assumptions!B55,Assumptions!B56))))</f>
        <v>1</v>
      </c>
      <c r="U10" s="72">
        <f>IF(U8=0,0,IF(U9=1,Assumptions!B53,IF(U9=2,Assumptions!B54,IF(U9=3,Assumptions!B55,Assumptions!B56))))</f>
        <v>1</v>
      </c>
      <c r="V10" s="72">
        <f>IF(V8=0,0,IF(V9=1,Assumptions!B53,IF(V9=2,Assumptions!B54,IF(V9=3,Assumptions!B55,Assumptions!B56))))</f>
        <v>0</v>
      </c>
    </row>
    <row r="11" spans="1:22" ht="15" customHeight="1" x14ac:dyDescent="0.2">
      <c r="A11" s="5" t="s">
        <v>542</v>
      </c>
      <c r="B11" s="73">
        <f>(1+Assumptions!B24)^B4</f>
        <v>1</v>
      </c>
      <c r="C11" s="73">
        <f>(1+Assumptions!B24)^C4</f>
        <v>1.02</v>
      </c>
      <c r="D11" s="73">
        <f>(1+Assumptions!B24)^D4</f>
        <v>1.0404</v>
      </c>
      <c r="E11" s="73">
        <f>(1+Assumptions!B24)^E4</f>
        <v>1.0612079999999999</v>
      </c>
      <c r="F11" s="73">
        <f>(1+Assumptions!B24)^F4</f>
        <v>1.08243216</v>
      </c>
      <c r="G11" s="73">
        <f>(1+Assumptions!B24)^G4</f>
        <v>1.1040808032</v>
      </c>
      <c r="H11" s="73">
        <f>(1+Assumptions!B24)^H4</f>
        <v>1.1261624192640001</v>
      </c>
      <c r="I11" s="73">
        <f>(1+Assumptions!B24)^I4</f>
        <v>1.1486856676492798</v>
      </c>
      <c r="J11" s="73">
        <f>(1+Assumptions!B24)^J4</f>
        <v>1.1716593810022655</v>
      </c>
      <c r="K11" s="73">
        <f>(1+Assumptions!B24)^K4</f>
        <v>1.1950925686223108</v>
      </c>
      <c r="L11" s="73">
        <f>(1+Assumptions!B24)^L4</f>
        <v>1.2189944199947571</v>
      </c>
      <c r="M11" s="73">
        <f>(1+Assumptions!B24)^M4</f>
        <v>1.243374308394652</v>
      </c>
      <c r="N11" s="73">
        <f>(1+Assumptions!B24)^N4</f>
        <v>1.2682417945625453</v>
      </c>
      <c r="O11" s="73">
        <f>(1+Assumptions!B24)^O4</f>
        <v>1.2936066304537961</v>
      </c>
      <c r="P11" s="73">
        <f>(1+Assumptions!B24)^P4</f>
        <v>1.3194787630628722</v>
      </c>
      <c r="Q11" s="73">
        <f>(1+Assumptions!B24)^Q4</f>
        <v>1.3458683383241292</v>
      </c>
      <c r="R11" s="73">
        <f>(1+Assumptions!B24)^R4</f>
        <v>1.372785705090612</v>
      </c>
      <c r="S11" s="73">
        <f>(1+Assumptions!B24)^S4</f>
        <v>1.4002414191924244</v>
      </c>
      <c r="T11" s="73">
        <f>(1+Assumptions!B24)^T4</f>
        <v>1.4282462475762727</v>
      </c>
      <c r="U11" s="73">
        <f>(1+Assumptions!B24)^U4</f>
        <v>1.4568111725277981</v>
      </c>
      <c r="V11" s="73">
        <f>(1+Assumptions!B24)^V4</f>
        <v>1.4859473959783542</v>
      </c>
    </row>
    <row r="12" spans="1:22" ht="15" customHeight="1" x14ac:dyDescent="0.2">
      <c r="A12" s="5" t="s">
        <v>543</v>
      </c>
      <c r="B12" s="73">
        <f>(1+Assumptions!B66)^B4</f>
        <v>1</v>
      </c>
      <c r="C12" s="73">
        <f>(1+Assumptions!B66)^C4</f>
        <v>1.0249999999999999</v>
      </c>
      <c r="D12" s="73">
        <f>(1+Assumptions!B66)^D4</f>
        <v>1.0506249999999999</v>
      </c>
      <c r="E12" s="73">
        <f>(1+Assumptions!B66)^E4</f>
        <v>1.0768906249999999</v>
      </c>
      <c r="F12" s="73">
        <f>(1+Assumptions!B66)^F4</f>
        <v>1.1038128906249998</v>
      </c>
      <c r="G12" s="73">
        <f>(1+Assumptions!B66)^G4</f>
        <v>1.1314082128906247</v>
      </c>
      <c r="H12" s="73">
        <f>(1+Assumptions!B66)^H4</f>
        <v>1.1596934182128902</v>
      </c>
      <c r="I12" s="73">
        <f>(1+Assumptions!B66)^I4</f>
        <v>1.1886857536682125</v>
      </c>
      <c r="J12" s="73">
        <f>(1+Assumptions!B66)^J4</f>
        <v>1.2184028975099177</v>
      </c>
      <c r="K12" s="73">
        <f>(1+Assumptions!B66)^K4</f>
        <v>1.2488629699476654</v>
      </c>
      <c r="L12" s="73">
        <f>(1+Assumptions!B66)^L4</f>
        <v>1.2800845441963571</v>
      </c>
      <c r="M12" s="73">
        <f>(1+Assumptions!B66)^M4</f>
        <v>1.312086657801266</v>
      </c>
      <c r="N12" s="73">
        <f>(1+Assumptions!B66)^N4</f>
        <v>1.3448888242462975</v>
      </c>
      <c r="O12" s="73">
        <f>(1+Assumptions!B66)^O4</f>
        <v>1.3785110448524549</v>
      </c>
      <c r="P12" s="73">
        <f>(1+Assumptions!B66)^P4</f>
        <v>1.4129738209737661</v>
      </c>
      <c r="Q12" s="73">
        <f>(1+Assumptions!B66)^Q4</f>
        <v>1.4482981664981105</v>
      </c>
      <c r="R12" s="73">
        <f>(1+Assumptions!B66)^R4</f>
        <v>1.4845056206605631</v>
      </c>
      <c r="S12" s="73">
        <f>(1+Assumptions!B66)^S4</f>
        <v>1.521618261177077</v>
      </c>
      <c r="T12" s="73">
        <f>(1+Assumptions!B66)^T4</f>
        <v>1.559658717706504</v>
      </c>
      <c r="U12" s="73">
        <f>(1+Assumptions!B66)^U4</f>
        <v>1.5986501856491666</v>
      </c>
      <c r="V12" s="73">
        <f>(1+Assumptions!B66)^V4</f>
        <v>1.6386164402903955</v>
      </c>
    </row>
    <row r="14" spans="1:22" ht="15" customHeight="1" x14ac:dyDescent="0.2">
      <c r="A14" s="19" t="s">
        <v>544</v>
      </c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</row>
    <row r="15" spans="1:22" ht="15" customHeight="1" x14ac:dyDescent="0.2">
      <c r="A15" s="35" t="s">
        <v>545</v>
      </c>
      <c r="B15" s="74">
        <f>B8*Assumptions!B34*B10</f>
        <v>0</v>
      </c>
      <c r="C15" s="74">
        <f>C8*Assumptions!B34*C10</f>
        <v>0</v>
      </c>
      <c r="D15" s="74">
        <f>D8*Assumptions!B34*D10</f>
        <v>0</v>
      </c>
      <c r="E15" s="74">
        <f>E8*Assumptions!B34*E10</f>
        <v>1500</v>
      </c>
      <c r="F15" s="74">
        <f>F8*Assumptions!B34*F10</f>
        <v>2250</v>
      </c>
      <c r="G15" s="74">
        <f>G8*Assumptions!B34*G10</f>
        <v>2700</v>
      </c>
      <c r="H15" s="74">
        <f>H8*Assumptions!B34*H10</f>
        <v>3000</v>
      </c>
      <c r="I15" s="74">
        <f>I8*Assumptions!B34*I10</f>
        <v>3000</v>
      </c>
      <c r="J15" s="74">
        <f>J8*Assumptions!B34*J10</f>
        <v>3000</v>
      </c>
      <c r="K15" s="74">
        <f>K8*Assumptions!B34*K10</f>
        <v>3000</v>
      </c>
      <c r="L15" s="74">
        <f>L8*Assumptions!B34*L10</f>
        <v>3000</v>
      </c>
      <c r="M15" s="74">
        <f>M8*Assumptions!B34*M10</f>
        <v>3000</v>
      </c>
      <c r="N15" s="74">
        <f>N8*Assumptions!B34*N10</f>
        <v>3000</v>
      </c>
      <c r="O15" s="74">
        <f>O8*Assumptions!B34*O10</f>
        <v>3000</v>
      </c>
      <c r="P15" s="74">
        <f>P8*Assumptions!B34*P10</f>
        <v>3000</v>
      </c>
      <c r="Q15" s="74">
        <f>Q8*Assumptions!B34*Q10</f>
        <v>3000</v>
      </c>
      <c r="R15" s="74">
        <f>R8*Assumptions!B34*R10</f>
        <v>3000</v>
      </c>
      <c r="S15" s="74">
        <f>S8*Assumptions!B34*S10</f>
        <v>3000</v>
      </c>
      <c r="T15" s="74">
        <f>T8*Assumptions!B34*T10</f>
        <v>3000</v>
      </c>
      <c r="U15" s="74">
        <f>U8*Assumptions!B34*U10</f>
        <v>3000</v>
      </c>
      <c r="V15" s="74">
        <f>V8*Assumptions!B34*V10</f>
        <v>0</v>
      </c>
    </row>
    <row r="16" spans="1:22" ht="15" customHeight="1" x14ac:dyDescent="0.2">
      <c r="A16" s="5" t="s">
        <v>546</v>
      </c>
      <c r="B16" s="75">
        <f>B15*Assumptions!B28</f>
        <v>0</v>
      </c>
      <c r="C16" s="75">
        <f>C15*Assumptions!B28</f>
        <v>0</v>
      </c>
      <c r="D16" s="75">
        <f>D15*Assumptions!B28</f>
        <v>0</v>
      </c>
      <c r="E16" s="75">
        <f>E15*Assumptions!B28</f>
        <v>600</v>
      </c>
      <c r="F16" s="75">
        <f>F15*Assumptions!B28</f>
        <v>900</v>
      </c>
      <c r="G16" s="75">
        <f>G15*Assumptions!B28</f>
        <v>1080</v>
      </c>
      <c r="H16" s="75">
        <f>H15*Assumptions!B28</f>
        <v>1200</v>
      </c>
      <c r="I16" s="75">
        <f>I15*Assumptions!B28</f>
        <v>1200</v>
      </c>
      <c r="J16" s="75">
        <f>J15*Assumptions!B28</f>
        <v>1200</v>
      </c>
      <c r="K16" s="75">
        <f>K15*Assumptions!B28</f>
        <v>1200</v>
      </c>
      <c r="L16" s="75">
        <f>L15*Assumptions!B28</f>
        <v>1200</v>
      </c>
      <c r="M16" s="75">
        <f>M15*Assumptions!B28</f>
        <v>1200</v>
      </c>
      <c r="N16" s="75">
        <f>N15*Assumptions!B28</f>
        <v>1200</v>
      </c>
      <c r="O16" s="75">
        <f>O15*Assumptions!B28</f>
        <v>1200</v>
      </c>
      <c r="P16" s="75">
        <f>P15*Assumptions!B28</f>
        <v>1200</v>
      </c>
      <c r="Q16" s="75">
        <f>Q15*Assumptions!B28</f>
        <v>1200</v>
      </c>
      <c r="R16" s="75">
        <f>R15*Assumptions!B28</f>
        <v>1200</v>
      </c>
      <c r="S16" s="75">
        <f>S15*Assumptions!B28</f>
        <v>1200</v>
      </c>
      <c r="T16" s="75">
        <f>T15*Assumptions!B28</f>
        <v>1200</v>
      </c>
      <c r="U16" s="75">
        <f>U15*Assumptions!B28</f>
        <v>1200</v>
      </c>
      <c r="V16" s="75">
        <f>V15*Assumptions!B28</f>
        <v>0</v>
      </c>
    </row>
    <row r="17" spans="1:22" ht="15" customHeight="1" x14ac:dyDescent="0.2">
      <c r="A17" s="5" t="s">
        <v>547</v>
      </c>
      <c r="B17" s="75">
        <f>B15*Assumptions!B29</f>
        <v>0</v>
      </c>
      <c r="C17" s="75">
        <f>C15*Assumptions!B29</f>
        <v>0</v>
      </c>
      <c r="D17" s="75">
        <f>D15*Assumptions!B29</f>
        <v>0</v>
      </c>
      <c r="E17" s="75">
        <f>E15*Assumptions!B29</f>
        <v>900</v>
      </c>
      <c r="F17" s="75">
        <f>F15*Assumptions!B29</f>
        <v>1350</v>
      </c>
      <c r="G17" s="75">
        <f>G15*Assumptions!B29</f>
        <v>1620</v>
      </c>
      <c r="H17" s="75">
        <f>H15*Assumptions!B29</f>
        <v>1800</v>
      </c>
      <c r="I17" s="75">
        <f>I15*Assumptions!B29</f>
        <v>1800</v>
      </c>
      <c r="J17" s="75">
        <f>J15*Assumptions!B29</f>
        <v>1800</v>
      </c>
      <c r="K17" s="75">
        <f>K15*Assumptions!B29</f>
        <v>1800</v>
      </c>
      <c r="L17" s="75">
        <f>L15*Assumptions!B29</f>
        <v>1800</v>
      </c>
      <c r="M17" s="75">
        <f>M15*Assumptions!B29</f>
        <v>1800</v>
      </c>
      <c r="N17" s="75">
        <f>N15*Assumptions!B29</f>
        <v>1800</v>
      </c>
      <c r="O17" s="75">
        <f>O15*Assumptions!B29</f>
        <v>1800</v>
      </c>
      <c r="P17" s="75">
        <f>P15*Assumptions!B29</f>
        <v>1800</v>
      </c>
      <c r="Q17" s="75">
        <f>Q15*Assumptions!B29</f>
        <v>1800</v>
      </c>
      <c r="R17" s="75">
        <f>R15*Assumptions!B29</f>
        <v>1800</v>
      </c>
      <c r="S17" s="75">
        <f>S15*Assumptions!B29</f>
        <v>1800</v>
      </c>
      <c r="T17" s="75">
        <f>T15*Assumptions!B29</f>
        <v>1800</v>
      </c>
      <c r="U17" s="75">
        <f>U15*Assumptions!B29</f>
        <v>1800</v>
      </c>
      <c r="V17" s="75">
        <f>V15*Assumptions!B29</f>
        <v>0</v>
      </c>
    </row>
    <row r="18" spans="1:22" ht="15" customHeight="1" x14ac:dyDescent="0.2">
      <c r="A18" s="5" t="s">
        <v>548</v>
      </c>
      <c r="B18" s="75">
        <f>B16*Assumptions!B30</f>
        <v>0</v>
      </c>
      <c r="C18" s="75">
        <f>C16*Assumptions!B30</f>
        <v>0</v>
      </c>
      <c r="D18" s="75">
        <f>D16*Assumptions!B30</f>
        <v>0</v>
      </c>
      <c r="E18" s="75">
        <f>E16*Assumptions!B30</f>
        <v>3600</v>
      </c>
      <c r="F18" s="75">
        <f>F16*Assumptions!B30</f>
        <v>5400</v>
      </c>
      <c r="G18" s="75">
        <f>G16*Assumptions!B30</f>
        <v>6480</v>
      </c>
      <c r="H18" s="75">
        <f>H16*Assumptions!B30</f>
        <v>7200</v>
      </c>
      <c r="I18" s="75">
        <f>I16*Assumptions!B30</f>
        <v>7200</v>
      </c>
      <c r="J18" s="75">
        <f>J16*Assumptions!B30</f>
        <v>7200</v>
      </c>
      <c r="K18" s="75">
        <f>K16*Assumptions!B30</f>
        <v>7200</v>
      </c>
      <c r="L18" s="75">
        <f>L16*Assumptions!B30</f>
        <v>7200</v>
      </c>
      <c r="M18" s="75">
        <f>M16*Assumptions!B30</f>
        <v>7200</v>
      </c>
      <c r="N18" s="75">
        <f>N16*Assumptions!B30</f>
        <v>7200</v>
      </c>
      <c r="O18" s="75">
        <f>O16*Assumptions!B30</f>
        <v>7200</v>
      </c>
      <c r="P18" s="75">
        <f>P16*Assumptions!B30</f>
        <v>7200</v>
      </c>
      <c r="Q18" s="75">
        <f>Q16*Assumptions!B30</f>
        <v>7200</v>
      </c>
      <c r="R18" s="75">
        <f>R16*Assumptions!B30</f>
        <v>7200</v>
      </c>
      <c r="S18" s="75">
        <f>S16*Assumptions!B30</f>
        <v>7200</v>
      </c>
      <c r="T18" s="75">
        <f>T16*Assumptions!B30</f>
        <v>7200</v>
      </c>
      <c r="U18" s="75">
        <f>U16*Assumptions!B30</f>
        <v>7200</v>
      </c>
      <c r="V18" s="75">
        <f>V16*Assumptions!B30</f>
        <v>0</v>
      </c>
    </row>
    <row r="19" spans="1:22" ht="15" customHeight="1" x14ac:dyDescent="0.2">
      <c r="A19" s="5" t="s">
        <v>549</v>
      </c>
      <c r="B19" s="75">
        <f t="shared" ref="B19:V19" si="0">B15+B18</f>
        <v>0</v>
      </c>
      <c r="C19" s="75">
        <f t="shared" si="0"/>
        <v>0</v>
      </c>
      <c r="D19" s="75">
        <f t="shared" si="0"/>
        <v>0</v>
      </c>
      <c r="E19" s="75">
        <f t="shared" si="0"/>
        <v>5100</v>
      </c>
      <c r="F19" s="75">
        <f t="shared" si="0"/>
        <v>7650</v>
      </c>
      <c r="G19" s="75">
        <f t="shared" si="0"/>
        <v>9180</v>
      </c>
      <c r="H19" s="75">
        <f t="shared" si="0"/>
        <v>10200</v>
      </c>
      <c r="I19" s="75">
        <f t="shared" si="0"/>
        <v>10200</v>
      </c>
      <c r="J19" s="75">
        <f t="shared" si="0"/>
        <v>10200</v>
      </c>
      <c r="K19" s="75">
        <f t="shared" si="0"/>
        <v>10200</v>
      </c>
      <c r="L19" s="75">
        <f t="shared" si="0"/>
        <v>10200</v>
      </c>
      <c r="M19" s="75">
        <f t="shared" si="0"/>
        <v>10200</v>
      </c>
      <c r="N19" s="75">
        <f t="shared" si="0"/>
        <v>10200</v>
      </c>
      <c r="O19" s="75">
        <f t="shared" si="0"/>
        <v>10200</v>
      </c>
      <c r="P19" s="75">
        <f t="shared" si="0"/>
        <v>10200</v>
      </c>
      <c r="Q19" s="75">
        <f t="shared" si="0"/>
        <v>10200</v>
      </c>
      <c r="R19" s="75">
        <f t="shared" si="0"/>
        <v>10200</v>
      </c>
      <c r="S19" s="75">
        <f t="shared" si="0"/>
        <v>10200</v>
      </c>
      <c r="T19" s="75">
        <f t="shared" si="0"/>
        <v>10200</v>
      </c>
      <c r="U19" s="75">
        <f t="shared" si="0"/>
        <v>10200</v>
      </c>
      <c r="V19" s="75">
        <f t="shared" si="0"/>
        <v>0</v>
      </c>
    </row>
    <row r="21" spans="1:22" ht="15" customHeight="1" x14ac:dyDescent="0.2">
      <c r="A21" s="3" t="s">
        <v>550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</row>
    <row r="22" spans="1:22" ht="15" customHeight="1" x14ac:dyDescent="0.2">
      <c r="A22" s="5" t="s">
        <v>551</v>
      </c>
      <c r="B22" s="73">
        <f>B15/1000</f>
        <v>0</v>
      </c>
      <c r="C22" s="73">
        <f t="shared" ref="C22:V22" si="1">B22+C15/1000</f>
        <v>0</v>
      </c>
      <c r="D22" s="73">
        <f t="shared" si="1"/>
        <v>0</v>
      </c>
      <c r="E22" s="73">
        <f t="shared" si="1"/>
        <v>1.5</v>
      </c>
      <c r="F22" s="73">
        <f t="shared" si="1"/>
        <v>3.75</v>
      </c>
      <c r="G22" s="73">
        <f t="shared" si="1"/>
        <v>6.45</v>
      </c>
      <c r="H22" s="73">
        <f t="shared" si="1"/>
        <v>9.4499999999999993</v>
      </c>
      <c r="I22" s="73">
        <f t="shared" si="1"/>
        <v>12.45</v>
      </c>
      <c r="J22" s="73">
        <f t="shared" si="1"/>
        <v>15.45</v>
      </c>
      <c r="K22" s="73">
        <f t="shared" si="1"/>
        <v>18.45</v>
      </c>
      <c r="L22" s="73">
        <f t="shared" si="1"/>
        <v>21.45</v>
      </c>
      <c r="M22" s="73">
        <f t="shared" si="1"/>
        <v>24.45</v>
      </c>
      <c r="N22" s="73">
        <f t="shared" si="1"/>
        <v>27.45</v>
      </c>
      <c r="O22" s="73">
        <f t="shared" si="1"/>
        <v>30.45</v>
      </c>
      <c r="P22" s="73">
        <f t="shared" si="1"/>
        <v>33.450000000000003</v>
      </c>
      <c r="Q22" s="73">
        <f t="shared" si="1"/>
        <v>36.450000000000003</v>
      </c>
      <c r="R22" s="73">
        <f t="shared" si="1"/>
        <v>39.450000000000003</v>
      </c>
      <c r="S22" s="73">
        <f t="shared" si="1"/>
        <v>42.45</v>
      </c>
      <c r="T22" s="73">
        <f t="shared" si="1"/>
        <v>45.45</v>
      </c>
      <c r="U22" s="73">
        <f t="shared" si="1"/>
        <v>48.45</v>
      </c>
      <c r="V22" s="73">
        <f t="shared" si="1"/>
        <v>48.45</v>
      </c>
    </row>
    <row r="23" spans="1:22" ht="15" customHeight="1" x14ac:dyDescent="0.2">
      <c r="A23" s="5" t="s">
        <v>552</v>
      </c>
      <c r="B23" s="76">
        <f>'Resources &amp; Reserves'!B17</f>
        <v>51</v>
      </c>
      <c r="C23" s="76">
        <f>'Resources &amp; Reserves'!B17</f>
        <v>51</v>
      </c>
      <c r="D23" s="76">
        <f>'Resources &amp; Reserves'!B17</f>
        <v>51</v>
      </c>
      <c r="E23" s="76">
        <f>'Resources &amp; Reserves'!B17</f>
        <v>51</v>
      </c>
      <c r="F23" s="76">
        <f>'Resources &amp; Reserves'!B17</f>
        <v>51</v>
      </c>
      <c r="G23" s="76">
        <f>'Resources &amp; Reserves'!B17</f>
        <v>51</v>
      </c>
      <c r="H23" s="76">
        <f>'Resources &amp; Reserves'!B17</f>
        <v>51</v>
      </c>
      <c r="I23" s="76">
        <f>'Resources &amp; Reserves'!B17</f>
        <v>51</v>
      </c>
      <c r="J23" s="76">
        <f>'Resources &amp; Reserves'!B17</f>
        <v>51</v>
      </c>
      <c r="K23" s="76">
        <f>'Resources &amp; Reserves'!B17</f>
        <v>51</v>
      </c>
      <c r="L23" s="76">
        <f>'Resources &amp; Reserves'!B17</f>
        <v>51</v>
      </c>
      <c r="M23" s="76">
        <f>'Resources &amp; Reserves'!B17</f>
        <v>51</v>
      </c>
      <c r="N23" s="76">
        <f>'Resources &amp; Reserves'!B17</f>
        <v>51</v>
      </c>
      <c r="O23" s="76">
        <f>'Resources &amp; Reserves'!B17</f>
        <v>51</v>
      </c>
      <c r="P23" s="76">
        <f>'Resources &amp; Reserves'!B17</f>
        <v>51</v>
      </c>
      <c r="Q23" s="76">
        <f>'Resources &amp; Reserves'!B17</f>
        <v>51</v>
      </c>
      <c r="R23" s="76">
        <f>'Resources &amp; Reserves'!B17</f>
        <v>51</v>
      </c>
      <c r="S23" s="76">
        <f>'Resources &amp; Reserves'!B17</f>
        <v>51</v>
      </c>
      <c r="T23" s="76">
        <f>'Resources &amp; Reserves'!B17</f>
        <v>51</v>
      </c>
      <c r="U23" s="76">
        <f>'Resources &amp; Reserves'!B17</f>
        <v>51</v>
      </c>
      <c r="V23" s="76">
        <f>'Resources &amp; Reserves'!B17</f>
        <v>51</v>
      </c>
    </row>
    <row r="24" spans="1:22" ht="15" customHeight="1" x14ac:dyDescent="0.2">
      <c r="A24" s="35" t="s">
        <v>553</v>
      </c>
      <c r="B24" s="77">
        <f t="shared" ref="B24:V24" si="2">MAX(0,B23-B22)</f>
        <v>51</v>
      </c>
      <c r="C24" s="77">
        <f t="shared" si="2"/>
        <v>51</v>
      </c>
      <c r="D24" s="77">
        <f t="shared" si="2"/>
        <v>51</v>
      </c>
      <c r="E24" s="77">
        <f t="shared" si="2"/>
        <v>49.5</v>
      </c>
      <c r="F24" s="77">
        <f t="shared" si="2"/>
        <v>47.25</v>
      </c>
      <c r="G24" s="77">
        <f t="shared" si="2"/>
        <v>44.55</v>
      </c>
      <c r="H24" s="77">
        <f t="shared" si="2"/>
        <v>41.55</v>
      </c>
      <c r="I24" s="77">
        <f t="shared" si="2"/>
        <v>38.549999999999997</v>
      </c>
      <c r="J24" s="77">
        <f t="shared" si="2"/>
        <v>35.549999999999997</v>
      </c>
      <c r="K24" s="77">
        <f t="shared" si="2"/>
        <v>32.549999999999997</v>
      </c>
      <c r="L24" s="77">
        <f t="shared" si="2"/>
        <v>29.55</v>
      </c>
      <c r="M24" s="77">
        <f t="shared" si="2"/>
        <v>26.55</v>
      </c>
      <c r="N24" s="77">
        <f t="shared" si="2"/>
        <v>23.55</v>
      </c>
      <c r="O24" s="77">
        <f t="shared" si="2"/>
        <v>20.55</v>
      </c>
      <c r="P24" s="77">
        <f t="shared" si="2"/>
        <v>17.549999999999997</v>
      </c>
      <c r="Q24" s="77">
        <f t="shared" si="2"/>
        <v>14.549999999999997</v>
      </c>
      <c r="R24" s="77">
        <f t="shared" si="2"/>
        <v>11.549999999999997</v>
      </c>
      <c r="S24" s="77">
        <f t="shared" si="2"/>
        <v>8.5499999999999972</v>
      </c>
      <c r="T24" s="77">
        <f t="shared" si="2"/>
        <v>5.5499999999999972</v>
      </c>
      <c r="U24" s="77">
        <f t="shared" si="2"/>
        <v>2.5499999999999972</v>
      </c>
      <c r="V24" s="77">
        <f t="shared" si="2"/>
        <v>2.5499999999999972</v>
      </c>
    </row>
    <row r="25" spans="1:22" ht="15" customHeight="1" x14ac:dyDescent="0.2">
      <c r="A25" s="5" t="s">
        <v>554</v>
      </c>
      <c r="B25" s="72">
        <f t="shared" ref="B25:V25" si="3">IF(B23&gt;0,B22/B23,0)</f>
        <v>0</v>
      </c>
      <c r="C25" s="72">
        <f t="shared" si="3"/>
        <v>0</v>
      </c>
      <c r="D25" s="72">
        <f t="shared" si="3"/>
        <v>0</v>
      </c>
      <c r="E25" s="72">
        <f t="shared" si="3"/>
        <v>2.9411764705882353E-2</v>
      </c>
      <c r="F25" s="72">
        <f t="shared" si="3"/>
        <v>7.3529411764705885E-2</v>
      </c>
      <c r="G25" s="72">
        <f t="shared" si="3"/>
        <v>0.12647058823529411</v>
      </c>
      <c r="H25" s="72">
        <f t="shared" si="3"/>
        <v>0.1852941176470588</v>
      </c>
      <c r="I25" s="72">
        <f t="shared" si="3"/>
        <v>0.24411764705882352</v>
      </c>
      <c r="J25" s="72">
        <f t="shared" si="3"/>
        <v>0.30294117647058821</v>
      </c>
      <c r="K25" s="72">
        <f t="shared" si="3"/>
        <v>0.36176470588235293</v>
      </c>
      <c r="L25" s="72">
        <f t="shared" si="3"/>
        <v>0.42058823529411765</v>
      </c>
      <c r="M25" s="72">
        <f t="shared" si="3"/>
        <v>0.47941176470588232</v>
      </c>
      <c r="N25" s="72">
        <f t="shared" si="3"/>
        <v>0.53823529411764703</v>
      </c>
      <c r="O25" s="72">
        <f t="shared" si="3"/>
        <v>0.59705882352941175</v>
      </c>
      <c r="P25" s="72">
        <f t="shared" si="3"/>
        <v>0.65588235294117647</v>
      </c>
      <c r="Q25" s="72">
        <f t="shared" si="3"/>
        <v>0.71470588235294119</v>
      </c>
      <c r="R25" s="72">
        <f t="shared" si="3"/>
        <v>0.77352941176470591</v>
      </c>
      <c r="S25" s="72">
        <f t="shared" si="3"/>
        <v>0.83235294117647063</v>
      </c>
      <c r="T25" s="72">
        <f t="shared" si="3"/>
        <v>0.89117647058823535</v>
      </c>
      <c r="U25" s="72">
        <f t="shared" si="3"/>
        <v>0.95000000000000007</v>
      </c>
      <c r="V25" s="72">
        <f t="shared" si="3"/>
        <v>0.95000000000000007</v>
      </c>
    </row>
    <row r="26" spans="1:22" ht="15" customHeight="1" x14ac:dyDescent="0.2">
      <c r="A26" s="5" t="s">
        <v>555</v>
      </c>
      <c r="B26" s="78">
        <f t="shared" ref="B26:V26" si="4">IF(B15&gt;0,B24/(B15/1000),0)</f>
        <v>0</v>
      </c>
      <c r="C26" s="78">
        <f t="shared" si="4"/>
        <v>0</v>
      </c>
      <c r="D26" s="78">
        <f t="shared" si="4"/>
        <v>0</v>
      </c>
      <c r="E26" s="78">
        <f t="shared" si="4"/>
        <v>33</v>
      </c>
      <c r="F26" s="78">
        <f t="shared" si="4"/>
        <v>21</v>
      </c>
      <c r="G26" s="78">
        <f t="shared" si="4"/>
        <v>16.499999999999996</v>
      </c>
      <c r="H26" s="78">
        <f t="shared" si="4"/>
        <v>13.85</v>
      </c>
      <c r="I26" s="78">
        <f t="shared" si="4"/>
        <v>12.85</v>
      </c>
      <c r="J26" s="78">
        <f t="shared" si="4"/>
        <v>11.85</v>
      </c>
      <c r="K26" s="78">
        <f t="shared" si="4"/>
        <v>10.85</v>
      </c>
      <c r="L26" s="78">
        <f t="shared" si="4"/>
        <v>9.85</v>
      </c>
      <c r="M26" s="78">
        <f t="shared" si="4"/>
        <v>8.85</v>
      </c>
      <c r="N26" s="78">
        <f t="shared" si="4"/>
        <v>7.8500000000000005</v>
      </c>
      <c r="O26" s="78">
        <f t="shared" si="4"/>
        <v>6.8500000000000005</v>
      </c>
      <c r="P26" s="78">
        <f t="shared" si="4"/>
        <v>5.8499999999999988</v>
      </c>
      <c r="Q26" s="78">
        <f t="shared" si="4"/>
        <v>4.8499999999999988</v>
      </c>
      <c r="R26" s="78">
        <f t="shared" si="4"/>
        <v>3.8499999999999992</v>
      </c>
      <c r="S26" s="78">
        <f t="shared" si="4"/>
        <v>2.8499999999999992</v>
      </c>
      <c r="T26" s="78">
        <f t="shared" si="4"/>
        <v>1.849999999999999</v>
      </c>
      <c r="U26" s="78">
        <f t="shared" si="4"/>
        <v>0.84999999999999909</v>
      </c>
      <c r="V26" s="78">
        <f t="shared" si="4"/>
        <v>0</v>
      </c>
    </row>
    <row r="27" spans="1:22" ht="15" customHeight="1" x14ac:dyDescent="0.2">
      <c r="A27" s="79" t="s">
        <v>556</v>
      </c>
      <c r="B27" s="80" t="str">
        <f t="shared" ref="B27:V27" si="5">IF(B8=0,"-",IF(B24&gt;0,"OK","DEPLETED"))</f>
        <v>-</v>
      </c>
      <c r="C27" s="80" t="str">
        <f t="shared" si="5"/>
        <v>-</v>
      </c>
      <c r="D27" s="80" t="str">
        <f t="shared" si="5"/>
        <v>-</v>
      </c>
      <c r="E27" s="80" t="str">
        <f t="shared" si="5"/>
        <v>OK</v>
      </c>
      <c r="F27" s="80" t="str">
        <f t="shared" si="5"/>
        <v>OK</v>
      </c>
      <c r="G27" s="80" t="str">
        <f t="shared" si="5"/>
        <v>OK</v>
      </c>
      <c r="H27" s="80" t="str">
        <f t="shared" si="5"/>
        <v>OK</v>
      </c>
      <c r="I27" s="80" t="str">
        <f t="shared" si="5"/>
        <v>OK</v>
      </c>
      <c r="J27" s="80" t="str">
        <f t="shared" si="5"/>
        <v>OK</v>
      </c>
      <c r="K27" s="80" t="str">
        <f t="shared" si="5"/>
        <v>OK</v>
      </c>
      <c r="L27" s="80" t="str">
        <f t="shared" si="5"/>
        <v>OK</v>
      </c>
      <c r="M27" s="80" t="str">
        <f t="shared" si="5"/>
        <v>OK</v>
      </c>
      <c r="N27" s="80" t="str">
        <f t="shared" si="5"/>
        <v>OK</v>
      </c>
      <c r="O27" s="80" t="str">
        <f t="shared" si="5"/>
        <v>OK</v>
      </c>
      <c r="P27" s="80" t="str">
        <f t="shared" si="5"/>
        <v>OK</v>
      </c>
      <c r="Q27" s="80" t="str">
        <f t="shared" si="5"/>
        <v>OK</v>
      </c>
      <c r="R27" s="80" t="str">
        <f t="shared" si="5"/>
        <v>OK</v>
      </c>
      <c r="S27" s="80" t="str">
        <f t="shared" si="5"/>
        <v>OK</v>
      </c>
      <c r="T27" s="80" t="str">
        <f t="shared" si="5"/>
        <v>OK</v>
      </c>
      <c r="U27" s="80" t="str">
        <f t="shared" si="5"/>
        <v>OK</v>
      </c>
      <c r="V27" s="80" t="str">
        <f t="shared" si="5"/>
        <v>-</v>
      </c>
    </row>
    <row r="29" spans="1:22" ht="15" customHeight="1" x14ac:dyDescent="0.2">
      <c r="A29" s="19" t="s">
        <v>557</v>
      </c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</row>
    <row r="30" spans="1:22" ht="15" customHeight="1" x14ac:dyDescent="0.2">
      <c r="A30" s="5" t="s">
        <v>558</v>
      </c>
      <c r="B30" s="81">
        <f>IF(B15&gt;0,(B16*Assumptions!B35*Assumptions!B39+B17*Assumptions!B35*Assumptions!B40)/B15,0)</f>
        <v>0</v>
      </c>
      <c r="C30" s="81">
        <f>IF(C15&gt;0,(C16*Assumptions!B35*Assumptions!B39+C17*Assumptions!B35*Assumptions!B40)/C15,0)</f>
        <v>0</v>
      </c>
      <c r="D30" s="81">
        <f>IF(D15&gt;0,(D16*Assumptions!B35*Assumptions!B39+D17*Assumptions!B35*Assumptions!B40)/D15,0)</f>
        <v>0</v>
      </c>
      <c r="E30" s="81">
        <f>IF(E15&gt;0,(E16*Assumptions!B35*Assumptions!B39+E17*Assumptions!B35*Assumptions!B40)/E15,0)</f>
        <v>4</v>
      </c>
      <c r="F30" s="81">
        <f>IF(F15&gt;0,(F16*Assumptions!B35*Assumptions!B39+F17*Assumptions!B35*Assumptions!B40)/F15,0)</f>
        <v>4</v>
      </c>
      <c r="G30" s="81">
        <f>IF(G15&gt;0,(G16*Assumptions!B35*Assumptions!B39+G17*Assumptions!B35*Assumptions!B40)/G15,0)</f>
        <v>4</v>
      </c>
      <c r="H30" s="81">
        <f>IF(H15&gt;0,(H16*Assumptions!B35*Assumptions!B39+H17*Assumptions!B35*Assumptions!B40)/H15,0)</f>
        <v>4</v>
      </c>
      <c r="I30" s="81">
        <f>IF(I15&gt;0,(I16*Assumptions!B35*Assumptions!B39+I17*Assumptions!B35*Assumptions!B40)/I15,0)</f>
        <v>4</v>
      </c>
      <c r="J30" s="81">
        <f>IF(J15&gt;0,(J16*Assumptions!B35*Assumptions!B39+J17*Assumptions!B35*Assumptions!B40)/J15,0)</f>
        <v>4</v>
      </c>
      <c r="K30" s="81">
        <f>IF(K15&gt;0,(K16*Assumptions!B35*Assumptions!B39+K17*Assumptions!B35*Assumptions!B40)/K15,0)</f>
        <v>4</v>
      </c>
      <c r="L30" s="81">
        <f>IF(L15&gt;0,(L16*Assumptions!B35*Assumptions!B39+L17*Assumptions!B35*Assumptions!B40)/L15,0)</f>
        <v>4</v>
      </c>
      <c r="M30" s="81">
        <f>IF(M15&gt;0,(M16*Assumptions!B35*Assumptions!B39+M17*Assumptions!B35*Assumptions!B40)/M15,0)</f>
        <v>4</v>
      </c>
      <c r="N30" s="81">
        <f>IF(N15&gt;0,(N16*Assumptions!B35*Assumptions!B39+N17*Assumptions!B35*Assumptions!B40)/N15,0)</f>
        <v>4</v>
      </c>
      <c r="O30" s="81">
        <f>IF(O15&gt;0,(O16*Assumptions!B35*Assumptions!B39+O17*Assumptions!B35*Assumptions!B40)/O15,0)</f>
        <v>4</v>
      </c>
      <c r="P30" s="81">
        <f>IF(P15&gt;0,(P16*Assumptions!B35*Assumptions!B39+P17*Assumptions!B35*Assumptions!B40)/P15,0)</f>
        <v>4</v>
      </c>
      <c r="Q30" s="81">
        <f>IF(Q15&gt;0,(Q16*Assumptions!B35*Assumptions!B39+Q17*Assumptions!B35*Assumptions!B40)/Q15,0)</f>
        <v>4</v>
      </c>
      <c r="R30" s="81">
        <f>IF(R15&gt;0,(R16*Assumptions!B35*Assumptions!B39+R17*Assumptions!B35*Assumptions!B40)/R15,0)</f>
        <v>4</v>
      </c>
      <c r="S30" s="81">
        <f>IF(S15&gt;0,(S16*Assumptions!B35*Assumptions!B39+S17*Assumptions!B35*Assumptions!B40)/S15,0)</f>
        <v>4</v>
      </c>
      <c r="T30" s="81">
        <f>IF(T15&gt;0,(T16*Assumptions!B35*Assumptions!B39+T17*Assumptions!B35*Assumptions!B40)/T15,0)</f>
        <v>4</v>
      </c>
      <c r="U30" s="81">
        <f>IF(U15&gt;0,(U16*Assumptions!B35*Assumptions!B39+U17*Assumptions!B35*Assumptions!B40)/U15,0)</f>
        <v>4</v>
      </c>
      <c r="V30" s="81">
        <f>IF(V15&gt;0,(V16*Assumptions!B35*Assumptions!B39+V17*Assumptions!B35*Assumptions!B40)/V15,0)</f>
        <v>0</v>
      </c>
    </row>
    <row r="31" spans="1:22" ht="15" customHeight="1" x14ac:dyDescent="0.2">
      <c r="A31" s="5" t="s">
        <v>559</v>
      </c>
      <c r="B31" s="81">
        <f>IF(B15&gt;0,(B16*Assumptions!B36*Assumptions!B39+B17*Assumptions!B36*Assumptions!B40)/B15,0)</f>
        <v>0</v>
      </c>
      <c r="C31" s="81">
        <f>IF(C15&gt;0,(C16*Assumptions!B36*Assumptions!B39+C17*Assumptions!B36*Assumptions!B40)/C15,0)</f>
        <v>0</v>
      </c>
      <c r="D31" s="81">
        <f>IF(D15&gt;0,(D16*Assumptions!B36*Assumptions!B39+D17*Assumptions!B36*Assumptions!B40)/D15,0)</f>
        <v>0</v>
      </c>
      <c r="E31" s="81">
        <f>IF(E15&gt;0,(E16*Assumptions!B36*Assumptions!B39+E17*Assumptions!B36*Assumptions!B40)/E15,0)</f>
        <v>2.5</v>
      </c>
      <c r="F31" s="81">
        <f>IF(F15&gt;0,(F16*Assumptions!B36*Assumptions!B39+F17*Assumptions!B36*Assumptions!B40)/F15,0)</f>
        <v>2.5</v>
      </c>
      <c r="G31" s="81">
        <f>IF(G15&gt;0,(G16*Assumptions!B36*Assumptions!B39+G17*Assumptions!B36*Assumptions!B40)/G15,0)</f>
        <v>2.5</v>
      </c>
      <c r="H31" s="81">
        <f>IF(H15&gt;0,(H16*Assumptions!B36*Assumptions!B39+H17*Assumptions!B36*Assumptions!B40)/H15,0)</f>
        <v>2.5</v>
      </c>
      <c r="I31" s="81">
        <f>IF(I15&gt;0,(I16*Assumptions!B36*Assumptions!B39+I17*Assumptions!B36*Assumptions!B40)/I15,0)</f>
        <v>2.5</v>
      </c>
      <c r="J31" s="81">
        <f>IF(J15&gt;0,(J16*Assumptions!B36*Assumptions!B39+J17*Assumptions!B36*Assumptions!B40)/J15,0)</f>
        <v>2.5</v>
      </c>
      <c r="K31" s="81">
        <f>IF(K15&gt;0,(K16*Assumptions!B36*Assumptions!B39+K17*Assumptions!B36*Assumptions!B40)/K15,0)</f>
        <v>2.5</v>
      </c>
      <c r="L31" s="81">
        <f>IF(L15&gt;0,(L16*Assumptions!B36*Assumptions!B39+L17*Assumptions!B36*Assumptions!B40)/L15,0)</f>
        <v>2.5</v>
      </c>
      <c r="M31" s="81">
        <f>IF(M15&gt;0,(M16*Assumptions!B36*Assumptions!B39+M17*Assumptions!B36*Assumptions!B40)/M15,0)</f>
        <v>2.5</v>
      </c>
      <c r="N31" s="81">
        <f>IF(N15&gt;0,(N16*Assumptions!B36*Assumptions!B39+N17*Assumptions!B36*Assumptions!B40)/N15,0)</f>
        <v>2.5</v>
      </c>
      <c r="O31" s="81">
        <f>IF(O15&gt;0,(O16*Assumptions!B36*Assumptions!B39+O17*Assumptions!B36*Assumptions!B40)/O15,0)</f>
        <v>2.5</v>
      </c>
      <c r="P31" s="81">
        <f>IF(P15&gt;0,(P16*Assumptions!B36*Assumptions!B39+P17*Assumptions!B36*Assumptions!B40)/P15,0)</f>
        <v>2.5</v>
      </c>
      <c r="Q31" s="81">
        <f>IF(Q15&gt;0,(Q16*Assumptions!B36*Assumptions!B39+Q17*Assumptions!B36*Assumptions!B40)/Q15,0)</f>
        <v>2.5</v>
      </c>
      <c r="R31" s="81">
        <f>IF(R15&gt;0,(R16*Assumptions!B36*Assumptions!B39+R17*Assumptions!B36*Assumptions!B40)/R15,0)</f>
        <v>2.5</v>
      </c>
      <c r="S31" s="81">
        <f>IF(S15&gt;0,(S16*Assumptions!B36*Assumptions!B39+S17*Assumptions!B36*Assumptions!B40)/S15,0)</f>
        <v>2.5</v>
      </c>
      <c r="T31" s="81">
        <f>IF(T15&gt;0,(T16*Assumptions!B36*Assumptions!B39+T17*Assumptions!B36*Assumptions!B40)/T15,0)</f>
        <v>2.5</v>
      </c>
      <c r="U31" s="81">
        <f>IF(U15&gt;0,(U16*Assumptions!B36*Assumptions!B39+U17*Assumptions!B36*Assumptions!B40)/U15,0)</f>
        <v>2.5</v>
      </c>
      <c r="V31" s="81">
        <f>IF(V15&gt;0,(V16*Assumptions!B36*Assumptions!B39+V17*Assumptions!B36*Assumptions!B40)/V15,0)</f>
        <v>0</v>
      </c>
    </row>
    <row r="32" spans="1:22" ht="15" customHeight="1" x14ac:dyDescent="0.2">
      <c r="A32" s="5" t="s">
        <v>560</v>
      </c>
      <c r="B32" s="81">
        <f>IF(B15&gt;0,(B16*Assumptions!B37*Assumptions!B39+B17*Assumptions!B37*Assumptions!B40)/B15,0)</f>
        <v>0</v>
      </c>
      <c r="C32" s="81">
        <f>IF(C15&gt;0,(C16*Assumptions!B37*Assumptions!B39+C17*Assumptions!B37*Assumptions!B40)/C15,0)</f>
        <v>0</v>
      </c>
      <c r="D32" s="81">
        <f>IF(D15&gt;0,(D16*Assumptions!B37*Assumptions!B39+D17*Assumptions!B37*Assumptions!B40)/D15,0)</f>
        <v>0</v>
      </c>
      <c r="E32" s="81">
        <f>IF(E15&gt;0,(E16*Assumptions!B37*Assumptions!B39+E17*Assumptions!B37*Assumptions!B40)/E15,0)</f>
        <v>0.3</v>
      </c>
      <c r="F32" s="81">
        <f>IF(F15&gt;0,(F16*Assumptions!B37*Assumptions!B39+F17*Assumptions!B37*Assumptions!B40)/F15,0)</f>
        <v>0.3</v>
      </c>
      <c r="G32" s="81">
        <f>IF(G15&gt;0,(G16*Assumptions!B37*Assumptions!B39+G17*Assumptions!B37*Assumptions!B40)/G15,0)</f>
        <v>0.3</v>
      </c>
      <c r="H32" s="81">
        <f>IF(H15&gt;0,(H16*Assumptions!B37*Assumptions!B39+H17*Assumptions!B37*Assumptions!B40)/H15,0)</f>
        <v>0.3</v>
      </c>
      <c r="I32" s="81">
        <f>IF(I15&gt;0,(I16*Assumptions!B37*Assumptions!B39+I17*Assumptions!B37*Assumptions!B40)/I15,0)</f>
        <v>0.3</v>
      </c>
      <c r="J32" s="81">
        <f>IF(J15&gt;0,(J16*Assumptions!B37*Assumptions!B39+J17*Assumptions!B37*Assumptions!B40)/J15,0)</f>
        <v>0.3</v>
      </c>
      <c r="K32" s="81">
        <f>IF(K15&gt;0,(K16*Assumptions!B37*Assumptions!B39+K17*Assumptions!B37*Assumptions!B40)/K15,0)</f>
        <v>0.3</v>
      </c>
      <c r="L32" s="81">
        <f>IF(L15&gt;0,(L16*Assumptions!B37*Assumptions!B39+L17*Assumptions!B37*Assumptions!B40)/L15,0)</f>
        <v>0.3</v>
      </c>
      <c r="M32" s="81">
        <f>IF(M15&gt;0,(M16*Assumptions!B37*Assumptions!B39+M17*Assumptions!B37*Assumptions!B40)/M15,0)</f>
        <v>0.3</v>
      </c>
      <c r="N32" s="81">
        <f>IF(N15&gt;0,(N16*Assumptions!B37*Assumptions!B39+N17*Assumptions!B37*Assumptions!B40)/N15,0)</f>
        <v>0.3</v>
      </c>
      <c r="O32" s="81">
        <f>IF(O15&gt;0,(O16*Assumptions!B37*Assumptions!B39+O17*Assumptions!B37*Assumptions!B40)/O15,0)</f>
        <v>0.3</v>
      </c>
      <c r="P32" s="81">
        <f>IF(P15&gt;0,(P16*Assumptions!B37*Assumptions!B39+P17*Assumptions!B37*Assumptions!B40)/P15,0)</f>
        <v>0.3</v>
      </c>
      <c r="Q32" s="81">
        <f>IF(Q15&gt;0,(Q16*Assumptions!B37*Assumptions!B39+Q17*Assumptions!B37*Assumptions!B40)/Q15,0)</f>
        <v>0.3</v>
      </c>
      <c r="R32" s="81">
        <f>IF(R15&gt;0,(R16*Assumptions!B37*Assumptions!B39+R17*Assumptions!B37*Assumptions!B40)/R15,0)</f>
        <v>0.3</v>
      </c>
      <c r="S32" s="81">
        <f>IF(S15&gt;0,(S16*Assumptions!B37*Assumptions!B39+S17*Assumptions!B37*Assumptions!B40)/S15,0)</f>
        <v>0.3</v>
      </c>
      <c r="T32" s="81">
        <f>IF(T15&gt;0,(T16*Assumptions!B37*Assumptions!B39+T17*Assumptions!B37*Assumptions!B40)/T15,0)</f>
        <v>0.3</v>
      </c>
      <c r="U32" s="81">
        <f>IF(U15&gt;0,(U16*Assumptions!B37*Assumptions!B39+U17*Assumptions!B37*Assumptions!B40)/U15,0)</f>
        <v>0.3</v>
      </c>
      <c r="V32" s="81">
        <f>IF(V15&gt;0,(V16*Assumptions!B37*Assumptions!B39+V17*Assumptions!B37*Assumptions!B40)/V15,0)</f>
        <v>0</v>
      </c>
    </row>
    <row r="33" spans="1:22" ht="15" customHeight="1" x14ac:dyDescent="0.2">
      <c r="A33" s="5" t="s">
        <v>561</v>
      </c>
      <c r="B33" s="81">
        <f>IF(B15&gt;0,(B16*Assumptions!B38*Assumptions!B39+B17*Assumptions!B38*Assumptions!B40)/B15,0)</f>
        <v>0</v>
      </c>
      <c r="C33" s="81">
        <f>IF(C15&gt;0,(C16*Assumptions!B38*Assumptions!B39+C17*Assumptions!B38*Assumptions!B40)/C15,0)</f>
        <v>0</v>
      </c>
      <c r="D33" s="81">
        <f>IF(D15&gt;0,(D16*Assumptions!B38*Assumptions!B39+D17*Assumptions!B38*Assumptions!B40)/D15,0)</f>
        <v>0</v>
      </c>
      <c r="E33" s="81">
        <f>IF(E15&gt;0,(E16*Assumptions!B38*Assumptions!B39+E17*Assumptions!B38*Assumptions!B40)/E15,0)</f>
        <v>0.15</v>
      </c>
      <c r="F33" s="81">
        <f>IF(F15&gt;0,(F16*Assumptions!B38*Assumptions!B39+F17*Assumptions!B38*Assumptions!B40)/F15,0)</f>
        <v>0.15</v>
      </c>
      <c r="G33" s="81">
        <f>IF(G15&gt;0,(G16*Assumptions!B38*Assumptions!B39+G17*Assumptions!B38*Assumptions!B40)/G15,0)</f>
        <v>0.15</v>
      </c>
      <c r="H33" s="81">
        <f>IF(H15&gt;0,(H16*Assumptions!B38*Assumptions!B39+H17*Assumptions!B38*Assumptions!B40)/H15,0)</f>
        <v>0.15</v>
      </c>
      <c r="I33" s="81">
        <f>IF(I15&gt;0,(I16*Assumptions!B38*Assumptions!B39+I17*Assumptions!B38*Assumptions!B40)/I15,0)</f>
        <v>0.15</v>
      </c>
      <c r="J33" s="81">
        <f>IF(J15&gt;0,(J16*Assumptions!B38*Assumptions!B39+J17*Assumptions!B38*Assumptions!B40)/J15,0)</f>
        <v>0.15</v>
      </c>
      <c r="K33" s="81">
        <f>IF(K15&gt;0,(K16*Assumptions!B38*Assumptions!B39+K17*Assumptions!B38*Assumptions!B40)/K15,0)</f>
        <v>0.15</v>
      </c>
      <c r="L33" s="81">
        <f>IF(L15&gt;0,(L16*Assumptions!B38*Assumptions!B39+L17*Assumptions!B38*Assumptions!B40)/L15,0)</f>
        <v>0.15</v>
      </c>
      <c r="M33" s="81">
        <f>IF(M15&gt;0,(M16*Assumptions!B38*Assumptions!B39+M17*Assumptions!B38*Assumptions!B40)/M15,0)</f>
        <v>0.15</v>
      </c>
      <c r="N33" s="81">
        <f>IF(N15&gt;0,(N16*Assumptions!B38*Assumptions!B39+N17*Assumptions!B38*Assumptions!B40)/N15,0)</f>
        <v>0.15</v>
      </c>
      <c r="O33" s="81">
        <f>IF(O15&gt;0,(O16*Assumptions!B38*Assumptions!B39+O17*Assumptions!B38*Assumptions!B40)/O15,0)</f>
        <v>0.15</v>
      </c>
      <c r="P33" s="81">
        <f>IF(P15&gt;0,(P16*Assumptions!B38*Assumptions!B39+P17*Assumptions!B38*Assumptions!B40)/P15,0)</f>
        <v>0.15</v>
      </c>
      <c r="Q33" s="81">
        <f>IF(Q15&gt;0,(Q16*Assumptions!B38*Assumptions!B39+Q17*Assumptions!B38*Assumptions!B40)/Q15,0)</f>
        <v>0.15</v>
      </c>
      <c r="R33" s="81">
        <f>IF(R15&gt;0,(R16*Assumptions!B38*Assumptions!B39+R17*Assumptions!B38*Assumptions!B40)/R15,0)</f>
        <v>0.15</v>
      </c>
      <c r="S33" s="81">
        <f>IF(S15&gt;0,(S16*Assumptions!B38*Assumptions!B39+S17*Assumptions!B38*Assumptions!B40)/S15,0)</f>
        <v>0.15</v>
      </c>
      <c r="T33" s="81">
        <f>IF(T15&gt;0,(T16*Assumptions!B38*Assumptions!B39+T17*Assumptions!B38*Assumptions!B40)/T15,0)</f>
        <v>0.15</v>
      </c>
      <c r="U33" s="81">
        <f>IF(U15&gt;0,(U16*Assumptions!B38*Assumptions!B39+U17*Assumptions!B38*Assumptions!B40)/U15,0)</f>
        <v>0.15</v>
      </c>
      <c r="V33" s="81">
        <f>IF(V15&gt;0,(V16*Assumptions!B38*Assumptions!B39+V17*Assumptions!B38*Assumptions!B40)/V15,0)</f>
        <v>0</v>
      </c>
    </row>
    <row r="35" spans="1:22" ht="15" customHeight="1" x14ac:dyDescent="0.2">
      <c r="A35" s="15" t="s">
        <v>562</v>
      </c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</row>
    <row r="36" spans="1:22" ht="15" customHeight="1" x14ac:dyDescent="0.2">
      <c r="A36" s="5" t="s">
        <v>563</v>
      </c>
      <c r="B36" s="78">
        <f>B15*Assumptions!B44</f>
        <v>0</v>
      </c>
      <c r="C36" s="78">
        <f>C15*Assumptions!B44</f>
        <v>0</v>
      </c>
      <c r="D36" s="78">
        <f>D15*Assumptions!B44</f>
        <v>0</v>
      </c>
      <c r="E36" s="78">
        <f>E15*Assumptions!B44</f>
        <v>60</v>
      </c>
      <c r="F36" s="78">
        <f>F15*Assumptions!B44</f>
        <v>90</v>
      </c>
      <c r="G36" s="78">
        <f>G15*Assumptions!B44</f>
        <v>108</v>
      </c>
      <c r="H36" s="78">
        <f>H15*Assumptions!B44</f>
        <v>120</v>
      </c>
      <c r="I36" s="78">
        <f>I15*Assumptions!B44</f>
        <v>120</v>
      </c>
      <c r="J36" s="78">
        <f>J15*Assumptions!B44</f>
        <v>120</v>
      </c>
      <c r="K36" s="78">
        <f>K15*Assumptions!B44</f>
        <v>120</v>
      </c>
      <c r="L36" s="78">
        <f>L15*Assumptions!B44</f>
        <v>120</v>
      </c>
      <c r="M36" s="78">
        <f>M15*Assumptions!B44</f>
        <v>120</v>
      </c>
      <c r="N36" s="78">
        <f>N15*Assumptions!B44</f>
        <v>120</v>
      </c>
      <c r="O36" s="78">
        <f>O15*Assumptions!B44</f>
        <v>120</v>
      </c>
      <c r="P36" s="78">
        <f>P15*Assumptions!B44</f>
        <v>120</v>
      </c>
      <c r="Q36" s="78">
        <f>Q15*Assumptions!B44</f>
        <v>120</v>
      </c>
      <c r="R36" s="78">
        <f>R15*Assumptions!B44</f>
        <v>120</v>
      </c>
      <c r="S36" s="78">
        <f>S15*Assumptions!B44</f>
        <v>120</v>
      </c>
      <c r="T36" s="78">
        <f>T15*Assumptions!B44</f>
        <v>120</v>
      </c>
      <c r="U36" s="78">
        <f>U15*Assumptions!B44</f>
        <v>120</v>
      </c>
      <c r="V36" s="78">
        <f>V15*Assumptions!B44</f>
        <v>0</v>
      </c>
    </row>
    <row r="37" spans="1:22" ht="15" customHeight="1" x14ac:dyDescent="0.2">
      <c r="A37" s="5" t="s">
        <v>564</v>
      </c>
      <c r="B37" s="75">
        <f>B15*1000*B30/Assumptions!B160*Assumptions!B45*Assumptions!B49</f>
        <v>0</v>
      </c>
      <c r="C37" s="75">
        <f>C15*1000*C30/Assumptions!B160*Assumptions!B45*Assumptions!B49</f>
        <v>0</v>
      </c>
      <c r="D37" s="75">
        <f>D15*1000*D30/Assumptions!B160*Assumptions!B45*Assumptions!B49</f>
        <v>0</v>
      </c>
      <c r="E37" s="75">
        <f>E15*1000*E30/Assumptions!B160*Assumptions!B45*Assumptions!B49</f>
        <v>161113.70103043065</v>
      </c>
      <c r="F37" s="75">
        <f>F15*1000*F30/Assumptions!B160*Assumptions!B45*Assumptions!B49</f>
        <v>241670.55154564595</v>
      </c>
      <c r="G37" s="75">
        <f>G15*1000*G30/Assumptions!B160*Assumptions!B45*Assumptions!B49</f>
        <v>290004.66185477516</v>
      </c>
      <c r="H37" s="75">
        <f>H15*1000*H30/Assumptions!B160*Assumptions!B45*Assumptions!B49</f>
        <v>322227.40206086129</v>
      </c>
      <c r="I37" s="75">
        <f>I15*1000*I30/Assumptions!B160*Assumptions!B45*Assumptions!B49</f>
        <v>322227.40206086129</v>
      </c>
      <c r="J37" s="75">
        <f>J15*1000*J30/Assumptions!B160*Assumptions!B45*Assumptions!B49</f>
        <v>322227.40206086129</v>
      </c>
      <c r="K37" s="75">
        <f>K15*1000*K30/Assumptions!B160*Assumptions!B45*Assumptions!B49</f>
        <v>322227.40206086129</v>
      </c>
      <c r="L37" s="75">
        <f>L15*1000*L30/Assumptions!B160*Assumptions!B45*Assumptions!B49</f>
        <v>322227.40206086129</v>
      </c>
      <c r="M37" s="75">
        <f>M15*1000*M30/Assumptions!B160*Assumptions!B45*Assumptions!B49</f>
        <v>322227.40206086129</v>
      </c>
      <c r="N37" s="75">
        <f>N15*1000*N30/Assumptions!B160*Assumptions!B45*Assumptions!B49</f>
        <v>322227.40206086129</v>
      </c>
      <c r="O37" s="75">
        <f>O15*1000*O30/Assumptions!B160*Assumptions!B45*Assumptions!B49</f>
        <v>322227.40206086129</v>
      </c>
      <c r="P37" s="75">
        <f>P15*1000*P30/Assumptions!B160*Assumptions!B45*Assumptions!B49</f>
        <v>322227.40206086129</v>
      </c>
      <c r="Q37" s="75">
        <f>Q15*1000*Q30/Assumptions!B160*Assumptions!B45*Assumptions!B49</f>
        <v>322227.40206086129</v>
      </c>
      <c r="R37" s="75">
        <f>R15*1000*R30/Assumptions!B160*Assumptions!B45*Assumptions!B49</f>
        <v>322227.40206086129</v>
      </c>
      <c r="S37" s="75">
        <f>S15*1000*S30/Assumptions!B160*Assumptions!B45*Assumptions!B49</f>
        <v>322227.40206086129</v>
      </c>
      <c r="T37" s="75">
        <f>T15*1000*T30/Assumptions!B160*Assumptions!B45*Assumptions!B49</f>
        <v>322227.40206086129</v>
      </c>
      <c r="U37" s="75">
        <f>U15*1000*U30/Assumptions!B160*Assumptions!B45*Assumptions!B49</f>
        <v>322227.40206086129</v>
      </c>
      <c r="V37" s="75">
        <f>V15*1000*V30/Assumptions!B160*Assumptions!B45*Assumptions!B49</f>
        <v>0</v>
      </c>
    </row>
    <row r="38" spans="1:22" ht="15" customHeight="1" x14ac:dyDescent="0.2">
      <c r="A38" s="5" t="s">
        <v>565</v>
      </c>
      <c r="B38" s="75">
        <f>B15*1000*B31/Assumptions!B160*Assumptions!B46*Assumptions!B49</f>
        <v>0</v>
      </c>
      <c r="C38" s="75">
        <f>C15*1000*C31/Assumptions!B160*Assumptions!B46*Assumptions!B49</f>
        <v>0</v>
      </c>
      <c r="D38" s="75">
        <f>D15*1000*D31/Assumptions!B160*Assumptions!B46*Assumptions!B49</f>
        <v>0</v>
      </c>
      <c r="E38" s="75">
        <f>E15*1000*E31/Assumptions!B160*Assumptions!B46*Assumptions!B49</f>
        <v>98381.211117719868</v>
      </c>
      <c r="F38" s="75">
        <f>F15*1000*F31/Assumptions!B160*Assumptions!B46*Assumptions!B49</f>
        <v>147571.81667657982</v>
      </c>
      <c r="G38" s="75">
        <f>G15*1000*G31/Assumptions!B160*Assumptions!B46*Assumptions!B49</f>
        <v>177086.18001189575</v>
      </c>
      <c r="H38" s="75">
        <f>H15*1000*H31/Assumptions!B160*Assumptions!B46*Assumptions!B49</f>
        <v>196762.42223543974</v>
      </c>
      <c r="I38" s="75">
        <f>I15*1000*I31/Assumptions!B160*Assumptions!B46*Assumptions!B49</f>
        <v>196762.42223543974</v>
      </c>
      <c r="J38" s="75">
        <f>J15*1000*J31/Assumptions!B160*Assumptions!B46*Assumptions!B49</f>
        <v>196762.42223543974</v>
      </c>
      <c r="K38" s="75">
        <f>K15*1000*K31/Assumptions!B160*Assumptions!B46*Assumptions!B49</f>
        <v>196762.42223543974</v>
      </c>
      <c r="L38" s="75">
        <f>L15*1000*L31/Assumptions!B160*Assumptions!B46*Assumptions!B49</f>
        <v>196762.42223543974</v>
      </c>
      <c r="M38" s="75">
        <f>M15*1000*M31/Assumptions!B160*Assumptions!B46*Assumptions!B49</f>
        <v>196762.42223543974</v>
      </c>
      <c r="N38" s="75">
        <f>N15*1000*N31/Assumptions!B160*Assumptions!B46*Assumptions!B49</f>
        <v>196762.42223543974</v>
      </c>
      <c r="O38" s="75">
        <f>O15*1000*O31/Assumptions!B160*Assumptions!B46*Assumptions!B49</f>
        <v>196762.42223543974</v>
      </c>
      <c r="P38" s="75">
        <f>P15*1000*P31/Assumptions!B160*Assumptions!B46*Assumptions!B49</f>
        <v>196762.42223543974</v>
      </c>
      <c r="Q38" s="75">
        <f>Q15*1000*Q31/Assumptions!B160*Assumptions!B46*Assumptions!B49</f>
        <v>196762.42223543974</v>
      </c>
      <c r="R38" s="75">
        <f>R15*1000*R31/Assumptions!B160*Assumptions!B46*Assumptions!B49</f>
        <v>196762.42223543974</v>
      </c>
      <c r="S38" s="75">
        <f>S15*1000*S31/Assumptions!B160*Assumptions!B46*Assumptions!B49</f>
        <v>196762.42223543974</v>
      </c>
      <c r="T38" s="75">
        <f>T15*1000*T31/Assumptions!B160*Assumptions!B46*Assumptions!B49</f>
        <v>196762.42223543974</v>
      </c>
      <c r="U38" s="75">
        <f>U15*1000*U31/Assumptions!B160*Assumptions!B46*Assumptions!B49</f>
        <v>196762.42223543974</v>
      </c>
      <c r="V38" s="75">
        <f>V15*1000*V31/Assumptions!B160*Assumptions!B46*Assumptions!B49</f>
        <v>0</v>
      </c>
    </row>
    <row r="39" spans="1:22" ht="15" customHeight="1" x14ac:dyDescent="0.2">
      <c r="A39" s="5" t="s">
        <v>566</v>
      </c>
      <c r="B39" s="75">
        <f>B15*1000*B32/Assumptions!B160*Assumptions!B47*Assumptions!B49</f>
        <v>0</v>
      </c>
      <c r="C39" s="75">
        <f>C15*1000*C32/Assumptions!B160*Assumptions!B47*Assumptions!B49</f>
        <v>0</v>
      </c>
      <c r="D39" s="75">
        <f>D15*1000*D32/Assumptions!B160*Assumptions!B47*Assumptions!B49</f>
        <v>0</v>
      </c>
      <c r="E39" s="75">
        <f>E15*1000*E32/Assumptions!B160*Assumptions!B47*Assumptions!B49</f>
        <v>10833.507483080683</v>
      </c>
      <c r="F39" s="75">
        <f>F15*1000*F32/Assumptions!B160*Assumptions!B47*Assumptions!B49</f>
        <v>16250.261224621021</v>
      </c>
      <c r="G39" s="75">
        <f>G15*1000*G32/Assumptions!B160*Assumptions!B47*Assumptions!B49</f>
        <v>19500.313469545228</v>
      </c>
      <c r="H39" s="75">
        <f>H15*1000*H32/Assumptions!B160*Assumptions!B47*Assumptions!B49</f>
        <v>21667.014966161365</v>
      </c>
      <c r="I39" s="75">
        <f>I15*1000*I32/Assumptions!B160*Assumptions!B47*Assumptions!B49</f>
        <v>21667.014966161365</v>
      </c>
      <c r="J39" s="75">
        <f>J15*1000*J32/Assumptions!B160*Assumptions!B47*Assumptions!B49</f>
        <v>21667.014966161365</v>
      </c>
      <c r="K39" s="75">
        <f>K15*1000*K32/Assumptions!B160*Assumptions!B47*Assumptions!B49</f>
        <v>21667.014966161365</v>
      </c>
      <c r="L39" s="75">
        <f>L15*1000*L32/Assumptions!B160*Assumptions!B47*Assumptions!B49</f>
        <v>21667.014966161365</v>
      </c>
      <c r="M39" s="75">
        <f>M15*1000*M32/Assumptions!B160*Assumptions!B47*Assumptions!B49</f>
        <v>21667.014966161365</v>
      </c>
      <c r="N39" s="75">
        <f>N15*1000*N32/Assumptions!B160*Assumptions!B47*Assumptions!B49</f>
        <v>21667.014966161365</v>
      </c>
      <c r="O39" s="75">
        <f>O15*1000*O32/Assumptions!B160*Assumptions!B47*Assumptions!B49</f>
        <v>21667.014966161365</v>
      </c>
      <c r="P39" s="75">
        <f>P15*1000*P32/Assumptions!B160*Assumptions!B47*Assumptions!B49</f>
        <v>21667.014966161365</v>
      </c>
      <c r="Q39" s="75">
        <f>Q15*1000*Q32/Assumptions!B160*Assumptions!B47*Assumptions!B49</f>
        <v>21667.014966161365</v>
      </c>
      <c r="R39" s="75">
        <f>R15*1000*R32/Assumptions!B160*Assumptions!B47*Assumptions!B49</f>
        <v>21667.014966161365</v>
      </c>
      <c r="S39" s="75">
        <f>S15*1000*S32/Assumptions!B160*Assumptions!B47*Assumptions!B49</f>
        <v>21667.014966161365</v>
      </c>
      <c r="T39" s="75">
        <f>T15*1000*T32/Assumptions!B160*Assumptions!B47*Assumptions!B49</f>
        <v>21667.014966161365</v>
      </c>
      <c r="U39" s="75">
        <f>U15*1000*U32/Assumptions!B160*Assumptions!B47*Assumptions!B49</f>
        <v>21667.014966161365</v>
      </c>
      <c r="V39" s="75">
        <f>V15*1000*V32/Assumptions!B160*Assumptions!B47*Assumptions!B49</f>
        <v>0</v>
      </c>
    </row>
    <row r="40" spans="1:22" ht="15" customHeight="1" x14ac:dyDescent="0.2">
      <c r="A40" s="5" t="s">
        <v>567</v>
      </c>
      <c r="B40" s="75">
        <f>B15*1000*B33/Assumptions!B160*Assumptions!B48*Assumptions!B49</f>
        <v>0</v>
      </c>
      <c r="C40" s="75">
        <f>C15*1000*C33/Assumptions!B160*Assumptions!B48*Assumptions!B49</f>
        <v>0</v>
      </c>
      <c r="D40" s="75">
        <f>D15*1000*D33/Assumptions!B160*Assumptions!B48*Assumptions!B49</f>
        <v>0</v>
      </c>
      <c r="E40" s="75">
        <f>E15*1000*E33/Assumptions!B160*Assumptions!B48*Assumptions!B49</f>
        <v>4513.9614512836179</v>
      </c>
      <c r="F40" s="75">
        <f>F15*1000*F33/Assumptions!B160*Assumptions!B48*Assumptions!B49</f>
        <v>6770.9421769254259</v>
      </c>
      <c r="G40" s="75">
        <f>G15*1000*G33/Assumptions!B160*Assumptions!B48*Assumptions!B49</f>
        <v>8125.1306123105123</v>
      </c>
      <c r="H40" s="75">
        <f>H15*1000*H33/Assumptions!B160*Assumptions!B48*Assumptions!B49</f>
        <v>9027.9229025672357</v>
      </c>
      <c r="I40" s="75">
        <f>I15*1000*I33/Assumptions!B160*Assumptions!B48*Assumptions!B49</f>
        <v>9027.9229025672357</v>
      </c>
      <c r="J40" s="75">
        <f>J15*1000*J33/Assumptions!B160*Assumptions!B48*Assumptions!B49</f>
        <v>9027.9229025672357</v>
      </c>
      <c r="K40" s="75">
        <f>K15*1000*K33/Assumptions!B160*Assumptions!B48*Assumptions!B49</f>
        <v>9027.9229025672357</v>
      </c>
      <c r="L40" s="75">
        <f>L15*1000*L33/Assumptions!B160*Assumptions!B48*Assumptions!B49</f>
        <v>9027.9229025672357</v>
      </c>
      <c r="M40" s="75">
        <f>M15*1000*M33/Assumptions!B160*Assumptions!B48*Assumptions!B49</f>
        <v>9027.9229025672357</v>
      </c>
      <c r="N40" s="75">
        <f>N15*1000*N33/Assumptions!B160*Assumptions!B48*Assumptions!B49</f>
        <v>9027.9229025672357</v>
      </c>
      <c r="O40" s="75">
        <f>O15*1000*O33/Assumptions!B160*Assumptions!B48*Assumptions!B49</f>
        <v>9027.9229025672357</v>
      </c>
      <c r="P40" s="75">
        <f>P15*1000*P33/Assumptions!B160*Assumptions!B48*Assumptions!B49</f>
        <v>9027.9229025672357</v>
      </c>
      <c r="Q40" s="75">
        <f>Q15*1000*Q33/Assumptions!B160*Assumptions!B48*Assumptions!B49</f>
        <v>9027.9229025672357</v>
      </c>
      <c r="R40" s="75">
        <f>R15*1000*R33/Assumptions!B160*Assumptions!B48*Assumptions!B49</f>
        <v>9027.9229025672357</v>
      </c>
      <c r="S40" s="75">
        <f>S15*1000*S33/Assumptions!B160*Assumptions!B48*Assumptions!B49</f>
        <v>9027.9229025672357</v>
      </c>
      <c r="T40" s="75">
        <f>T15*1000*T33/Assumptions!B160*Assumptions!B48*Assumptions!B49</f>
        <v>9027.9229025672357</v>
      </c>
      <c r="U40" s="75">
        <f>U15*1000*U33/Assumptions!B160*Assumptions!B48*Assumptions!B49</f>
        <v>9027.9229025672357</v>
      </c>
      <c r="V40" s="75">
        <f>V15*1000*V33/Assumptions!B160*Assumptions!B48*Assumptions!B49</f>
        <v>0</v>
      </c>
    </row>
    <row r="41" spans="1:22" ht="15" customHeight="1" x14ac:dyDescent="0.2">
      <c r="A41" s="35" t="s">
        <v>568</v>
      </c>
      <c r="B41" s="82">
        <f t="shared" ref="B41:V41" si="6">B37+B38+B39+B40</f>
        <v>0</v>
      </c>
      <c r="C41" s="82">
        <f t="shared" si="6"/>
        <v>0</v>
      </c>
      <c r="D41" s="82">
        <f t="shared" si="6"/>
        <v>0</v>
      </c>
      <c r="E41" s="82">
        <f t="shared" si="6"/>
        <v>274842.38108251477</v>
      </c>
      <c r="F41" s="82">
        <f t="shared" si="6"/>
        <v>412263.57162377227</v>
      </c>
      <c r="G41" s="82">
        <f t="shared" si="6"/>
        <v>494716.28594852658</v>
      </c>
      <c r="H41" s="82">
        <f t="shared" si="6"/>
        <v>549684.76216502953</v>
      </c>
      <c r="I41" s="82">
        <f t="shared" si="6"/>
        <v>549684.76216502953</v>
      </c>
      <c r="J41" s="82">
        <f t="shared" si="6"/>
        <v>549684.76216502953</v>
      </c>
      <c r="K41" s="82">
        <f t="shared" si="6"/>
        <v>549684.76216502953</v>
      </c>
      <c r="L41" s="82">
        <f t="shared" si="6"/>
        <v>549684.76216502953</v>
      </c>
      <c r="M41" s="82">
        <f t="shared" si="6"/>
        <v>549684.76216502953</v>
      </c>
      <c r="N41" s="82">
        <f t="shared" si="6"/>
        <v>549684.76216502953</v>
      </c>
      <c r="O41" s="82">
        <f t="shared" si="6"/>
        <v>549684.76216502953</v>
      </c>
      <c r="P41" s="82">
        <f t="shared" si="6"/>
        <v>549684.76216502953</v>
      </c>
      <c r="Q41" s="82">
        <f t="shared" si="6"/>
        <v>549684.76216502953</v>
      </c>
      <c r="R41" s="82">
        <f t="shared" si="6"/>
        <v>549684.76216502953</v>
      </c>
      <c r="S41" s="82">
        <f t="shared" si="6"/>
        <v>549684.76216502953</v>
      </c>
      <c r="T41" s="82">
        <f t="shared" si="6"/>
        <v>549684.76216502953</v>
      </c>
      <c r="U41" s="82">
        <f t="shared" si="6"/>
        <v>549684.76216502953</v>
      </c>
      <c r="V41" s="82">
        <f t="shared" si="6"/>
        <v>0</v>
      </c>
    </row>
    <row r="43" spans="1:22" ht="15" customHeight="1" x14ac:dyDescent="0.2">
      <c r="A43" s="5" t="s">
        <v>569</v>
      </c>
      <c r="B43" s="75">
        <f>B37</f>
        <v>0</v>
      </c>
      <c r="C43" s="75">
        <f t="shared" ref="C43:V43" si="7">B43+C37</f>
        <v>0</v>
      </c>
      <c r="D43" s="75">
        <f t="shared" si="7"/>
        <v>0</v>
      </c>
      <c r="E43" s="75">
        <f t="shared" si="7"/>
        <v>161113.70103043065</v>
      </c>
      <c r="F43" s="75">
        <f t="shared" si="7"/>
        <v>402784.2525760766</v>
      </c>
      <c r="G43" s="75">
        <f t="shared" si="7"/>
        <v>692788.91443085182</v>
      </c>
      <c r="H43" s="75">
        <f t="shared" si="7"/>
        <v>1015016.316491713</v>
      </c>
      <c r="I43" s="75">
        <f t="shared" si="7"/>
        <v>1337243.7185525743</v>
      </c>
      <c r="J43" s="75">
        <f t="shared" si="7"/>
        <v>1659471.1206134355</v>
      </c>
      <c r="K43" s="75">
        <f t="shared" si="7"/>
        <v>1981698.5226742967</v>
      </c>
      <c r="L43" s="75">
        <f t="shared" si="7"/>
        <v>2303925.9247351582</v>
      </c>
      <c r="M43" s="75">
        <f t="shared" si="7"/>
        <v>2626153.3267960194</v>
      </c>
      <c r="N43" s="75">
        <f t="shared" si="7"/>
        <v>2948380.7288568807</v>
      </c>
      <c r="O43" s="75">
        <f t="shared" si="7"/>
        <v>3270608.1309177419</v>
      </c>
      <c r="P43" s="75">
        <f t="shared" si="7"/>
        <v>3592835.5329786032</v>
      </c>
      <c r="Q43" s="75">
        <f t="shared" si="7"/>
        <v>3915062.9350394644</v>
      </c>
      <c r="R43" s="75">
        <f t="shared" si="7"/>
        <v>4237290.3371003261</v>
      </c>
      <c r="S43" s="75">
        <f t="shared" si="7"/>
        <v>4559517.7391611878</v>
      </c>
      <c r="T43" s="75">
        <f t="shared" si="7"/>
        <v>4881745.1412220495</v>
      </c>
      <c r="U43" s="75">
        <f t="shared" si="7"/>
        <v>5203972.5432829112</v>
      </c>
      <c r="V43" s="75">
        <f t="shared" si="7"/>
        <v>5203972.5432829112</v>
      </c>
    </row>
  </sheetData>
  <pageMargins left="0.75" right="0.75" top="1" bottom="1" header="0.511811023622047" footer="0.511811023622047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BF8F00"/>
  </sheetPr>
  <dimension ref="A1:V64"/>
  <sheetViews>
    <sheetView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baseColWidth="10" defaultColWidth="8.6640625" defaultRowHeight="15" x14ac:dyDescent="0.2"/>
  <cols>
    <col min="1" max="1" width="46" customWidth="1"/>
    <col min="2" max="22" width="14" customWidth="1"/>
  </cols>
  <sheetData>
    <row r="1" spans="1:22" ht="17.25" customHeight="1" x14ac:dyDescent="0.2">
      <c r="A1" s="2" t="s">
        <v>570</v>
      </c>
    </row>
    <row r="3" spans="1:22" ht="15" customHeight="1" x14ac:dyDescent="0.2">
      <c r="A3" s="39" t="s">
        <v>535</v>
      </c>
      <c r="B3" s="69">
        <f>Assumptions!B4+0</f>
        <v>2025</v>
      </c>
      <c r="C3" s="69">
        <f>Assumptions!B4+1</f>
        <v>2026</v>
      </c>
      <c r="D3" s="69">
        <f>Assumptions!B4+2</f>
        <v>2027</v>
      </c>
      <c r="E3" s="69">
        <f>Assumptions!B4+3</f>
        <v>2028</v>
      </c>
      <c r="F3" s="69">
        <f>Assumptions!B4+4</f>
        <v>2029</v>
      </c>
      <c r="G3" s="69">
        <f>Assumptions!B4+5</f>
        <v>2030</v>
      </c>
      <c r="H3" s="69">
        <f>Assumptions!B4+6</f>
        <v>2031</v>
      </c>
      <c r="I3" s="69">
        <f>Assumptions!B4+7</f>
        <v>2032</v>
      </c>
      <c r="J3" s="69">
        <f>Assumptions!B4+8</f>
        <v>2033</v>
      </c>
      <c r="K3" s="69">
        <f>Assumptions!B4+9</f>
        <v>2034</v>
      </c>
      <c r="L3" s="69">
        <f>Assumptions!B4+10</f>
        <v>2035</v>
      </c>
      <c r="M3" s="69">
        <f>Assumptions!B4+11</f>
        <v>2036</v>
      </c>
      <c r="N3" s="69">
        <f>Assumptions!B4+12</f>
        <v>2037</v>
      </c>
      <c r="O3" s="69">
        <f>Assumptions!B4+13</f>
        <v>2038</v>
      </c>
      <c r="P3" s="69">
        <f>Assumptions!B4+14</f>
        <v>2039</v>
      </c>
      <c r="Q3" s="69">
        <f>Assumptions!B4+15</f>
        <v>2040</v>
      </c>
      <c r="R3" s="69">
        <f>Assumptions!B4+16</f>
        <v>2041</v>
      </c>
      <c r="S3" s="69">
        <f>Assumptions!B4+17</f>
        <v>2042</v>
      </c>
      <c r="T3" s="69">
        <f>Assumptions!B4+18</f>
        <v>2043</v>
      </c>
      <c r="U3" s="69">
        <f>Assumptions!B4+19</f>
        <v>2044</v>
      </c>
      <c r="V3" s="69">
        <f>Assumptions!B4+20</f>
        <v>2045</v>
      </c>
    </row>
    <row r="4" spans="1:22" ht="15" customHeight="1" x14ac:dyDescent="0.2">
      <c r="A4" s="7" t="s">
        <v>536</v>
      </c>
      <c r="B4" s="70">
        <v>0</v>
      </c>
      <c r="C4" s="70">
        <v>1</v>
      </c>
      <c r="D4" s="70">
        <v>2</v>
      </c>
      <c r="E4" s="70">
        <v>3</v>
      </c>
      <c r="F4" s="70">
        <v>4</v>
      </c>
      <c r="G4" s="70">
        <v>5</v>
      </c>
      <c r="H4" s="70">
        <v>6</v>
      </c>
      <c r="I4" s="70">
        <v>7</v>
      </c>
      <c r="J4" s="70">
        <v>8</v>
      </c>
      <c r="K4" s="70">
        <v>9</v>
      </c>
      <c r="L4" s="70">
        <v>10</v>
      </c>
      <c r="M4" s="70">
        <v>11</v>
      </c>
      <c r="N4" s="70">
        <v>12</v>
      </c>
      <c r="O4" s="70">
        <v>13</v>
      </c>
      <c r="P4" s="70">
        <v>14</v>
      </c>
      <c r="Q4" s="70">
        <v>15</v>
      </c>
      <c r="R4" s="70">
        <v>16</v>
      </c>
      <c r="S4" s="70">
        <v>17</v>
      </c>
      <c r="T4" s="70">
        <v>18</v>
      </c>
      <c r="U4" s="70">
        <v>19</v>
      </c>
      <c r="V4" s="70">
        <v>20</v>
      </c>
    </row>
    <row r="6" spans="1:22" ht="15" customHeight="1" x14ac:dyDescent="0.2">
      <c r="A6" s="9" t="s">
        <v>571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</row>
    <row r="7" spans="1:22" ht="15" customHeight="1" x14ac:dyDescent="0.2">
      <c r="A7" s="5" t="s">
        <v>572</v>
      </c>
      <c r="B7" s="71">
        <f>IF(Assumptions!B97="Yes",1,0)</f>
        <v>1</v>
      </c>
      <c r="C7" s="71">
        <f>IF(Assumptions!B97="Yes",1,0)</f>
        <v>1</v>
      </c>
      <c r="D7" s="71">
        <f>IF(Assumptions!B97="Yes",1,0)</f>
        <v>1</v>
      </c>
      <c r="E7" s="71">
        <f>IF(Assumptions!B97="Yes",1,0)</f>
        <v>1</v>
      </c>
      <c r="F7" s="71">
        <f>IF(Assumptions!B97="Yes",1,0)</f>
        <v>1</v>
      </c>
      <c r="G7" s="71">
        <f>IF(Assumptions!B97="Yes",1,0)</f>
        <v>1</v>
      </c>
      <c r="H7" s="71">
        <f>IF(Assumptions!B97="Yes",1,0)</f>
        <v>1</v>
      </c>
      <c r="I7" s="71">
        <f>IF(Assumptions!B97="Yes",1,0)</f>
        <v>1</v>
      </c>
      <c r="J7" s="71">
        <f>IF(Assumptions!B97="Yes",1,0)</f>
        <v>1</v>
      </c>
      <c r="K7" s="71">
        <f>IF(Assumptions!B97="Yes",1,0)</f>
        <v>1</v>
      </c>
      <c r="L7" s="71">
        <f>IF(Assumptions!B97="Yes",1,0)</f>
        <v>1</v>
      </c>
      <c r="M7" s="71">
        <f>IF(Assumptions!B97="Yes",1,0)</f>
        <v>1</v>
      </c>
      <c r="N7" s="71">
        <f>IF(Assumptions!B97="Yes",1,0)</f>
        <v>1</v>
      </c>
      <c r="O7" s="71">
        <f>IF(Assumptions!B97="Yes",1,0)</f>
        <v>1</v>
      </c>
      <c r="P7" s="71">
        <f>IF(Assumptions!B97="Yes",1,0)</f>
        <v>1</v>
      </c>
      <c r="Q7" s="71">
        <f>IF(Assumptions!B97="Yes",1,0)</f>
        <v>1</v>
      </c>
      <c r="R7" s="71">
        <f>IF(Assumptions!B97="Yes",1,0)</f>
        <v>1</v>
      </c>
      <c r="S7" s="71">
        <f>IF(Assumptions!B97="Yes",1,0)</f>
        <v>1</v>
      </c>
      <c r="T7" s="71">
        <f>IF(Assumptions!B97="Yes",1,0)</f>
        <v>1</v>
      </c>
      <c r="U7" s="71">
        <f>IF(Assumptions!B97="Yes",1,0)</f>
        <v>1</v>
      </c>
      <c r="V7" s="71">
        <f>IF(Assumptions!B97="Yes",1,0)</f>
        <v>1</v>
      </c>
    </row>
    <row r="8" spans="1:22" ht="15" customHeight="1" x14ac:dyDescent="0.2">
      <c r="A8" s="5" t="s">
        <v>573</v>
      </c>
      <c r="B8" s="71">
        <f>IF(AND(B7=1,'Resource Depletion'!B8=1,'Resource Depletion'!B9&lt;=Assumptions!B98),1,0)</f>
        <v>0</v>
      </c>
      <c r="C8" s="71">
        <f>IF(AND(C7=1,'Resource Depletion'!C8=1,'Resource Depletion'!C9&lt;=Assumptions!B98),1,0)</f>
        <v>0</v>
      </c>
      <c r="D8" s="71">
        <f>IF(AND(D7=1,'Resource Depletion'!D8=1,'Resource Depletion'!D9&lt;=Assumptions!B98),1,0)</f>
        <v>0</v>
      </c>
      <c r="E8" s="71">
        <f>IF(AND(E7=1,'Resource Depletion'!E8=1,'Resource Depletion'!E9&lt;=Assumptions!B98),1,0)</f>
        <v>1</v>
      </c>
      <c r="F8" s="71">
        <f>IF(AND(F7=1,'Resource Depletion'!F8=1,'Resource Depletion'!F9&lt;=Assumptions!B98),1,0)</f>
        <v>1</v>
      </c>
      <c r="G8" s="71">
        <f>IF(AND(G7=1,'Resource Depletion'!G8=1,'Resource Depletion'!G9&lt;=Assumptions!B98),1,0)</f>
        <v>1</v>
      </c>
      <c r="H8" s="71">
        <f>IF(AND(H7=1,'Resource Depletion'!H8=1,'Resource Depletion'!H9&lt;=Assumptions!B98),1,0)</f>
        <v>1</v>
      </c>
      <c r="I8" s="71">
        <f>IF(AND(I7=1,'Resource Depletion'!I8=1,'Resource Depletion'!I9&lt;=Assumptions!B98),1,0)</f>
        <v>1</v>
      </c>
      <c r="J8" s="71">
        <f>IF(AND(J7=1,'Resource Depletion'!J8=1,'Resource Depletion'!J9&lt;=Assumptions!B98),1,0)</f>
        <v>0</v>
      </c>
      <c r="K8" s="71">
        <f>IF(AND(K7=1,'Resource Depletion'!K8=1,'Resource Depletion'!K9&lt;=Assumptions!B98),1,0)</f>
        <v>0</v>
      </c>
      <c r="L8" s="71">
        <f>IF(AND(L7=1,'Resource Depletion'!L8=1,'Resource Depletion'!L9&lt;=Assumptions!B98),1,0)</f>
        <v>0</v>
      </c>
      <c r="M8" s="71">
        <f>IF(AND(M7=1,'Resource Depletion'!M8=1,'Resource Depletion'!M9&lt;=Assumptions!B98),1,0)</f>
        <v>0</v>
      </c>
      <c r="N8" s="71">
        <f>IF(AND(N7=1,'Resource Depletion'!N8=1,'Resource Depletion'!N9&lt;=Assumptions!B98),1,0)</f>
        <v>0</v>
      </c>
      <c r="O8" s="71">
        <f>IF(AND(O7=1,'Resource Depletion'!O8=1,'Resource Depletion'!O9&lt;=Assumptions!B98),1,0)</f>
        <v>0</v>
      </c>
      <c r="P8" s="71">
        <f>IF(AND(P7=1,'Resource Depletion'!P8=1,'Resource Depletion'!P9&lt;=Assumptions!B98),1,0)</f>
        <v>0</v>
      </c>
      <c r="Q8" s="71">
        <f>IF(AND(Q7=1,'Resource Depletion'!Q8=1,'Resource Depletion'!Q9&lt;=Assumptions!B98),1,0)</f>
        <v>0</v>
      </c>
      <c r="R8" s="71">
        <f>IF(AND(R7=1,'Resource Depletion'!R8=1,'Resource Depletion'!R9&lt;=Assumptions!B98),1,0)</f>
        <v>0</v>
      </c>
      <c r="S8" s="71">
        <f>IF(AND(S7=1,'Resource Depletion'!S8=1,'Resource Depletion'!S9&lt;=Assumptions!B98),1,0)</f>
        <v>0</v>
      </c>
      <c r="T8" s="71">
        <f>IF(AND(T7=1,'Resource Depletion'!T8=1,'Resource Depletion'!T9&lt;=Assumptions!B98),1,0)</f>
        <v>0</v>
      </c>
      <c r="U8" s="71">
        <f>IF(AND(U7=1,'Resource Depletion'!U8=1,'Resource Depletion'!U9&lt;=Assumptions!B98),1,0)</f>
        <v>0</v>
      </c>
      <c r="V8" s="71">
        <f>IF(AND(V7=1,'Resource Depletion'!V8=1,'Resource Depletion'!V9&lt;=Assumptions!B98),1,0)</f>
        <v>0</v>
      </c>
    </row>
    <row r="10" spans="1:22" ht="15" customHeight="1" x14ac:dyDescent="0.2">
      <c r="A10" s="3" t="s">
        <v>574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</row>
    <row r="11" spans="1:22" ht="15" customHeight="1" x14ac:dyDescent="0.2">
      <c r="A11" s="5" t="s">
        <v>575</v>
      </c>
      <c r="B11" s="83">
        <f>Assumptions!B20*'Resource Depletion'!B11</f>
        <v>950</v>
      </c>
      <c r="C11" s="83">
        <f>Assumptions!B20*'Resource Depletion'!C11</f>
        <v>969</v>
      </c>
      <c r="D11" s="83">
        <f>Assumptions!B20*'Resource Depletion'!D11</f>
        <v>988.38</v>
      </c>
      <c r="E11" s="83">
        <f>Assumptions!B20*'Resource Depletion'!E11</f>
        <v>1008.1475999999999</v>
      </c>
      <c r="F11" s="83">
        <f>Assumptions!B20*'Resource Depletion'!F11</f>
        <v>1028.3105519999999</v>
      </c>
      <c r="G11" s="83">
        <f>Assumptions!B20*'Resource Depletion'!G11</f>
        <v>1048.87676304</v>
      </c>
      <c r="H11" s="83">
        <f>Assumptions!B20*'Resource Depletion'!H11</f>
        <v>1069.8542983008001</v>
      </c>
      <c r="I11" s="83">
        <f>Assumptions!B20*'Resource Depletion'!I11</f>
        <v>1091.2513842668159</v>
      </c>
      <c r="J11" s="83">
        <f>Assumptions!B20*'Resource Depletion'!J11</f>
        <v>1113.0764119521523</v>
      </c>
      <c r="K11" s="83">
        <f>Assumptions!B20*'Resource Depletion'!K11</f>
        <v>1135.3379401911952</v>
      </c>
      <c r="L11" s="83">
        <f>Assumptions!B20*'Resource Depletion'!L11</f>
        <v>1158.0446989950192</v>
      </c>
      <c r="M11" s="83">
        <f>Assumptions!B20*'Resource Depletion'!M11</f>
        <v>1181.2055929749195</v>
      </c>
      <c r="N11" s="83">
        <f>Assumptions!B20*'Resource Depletion'!N11</f>
        <v>1204.829704834418</v>
      </c>
      <c r="O11" s="83">
        <f>Assumptions!B20*'Resource Depletion'!O11</f>
        <v>1228.9262989311062</v>
      </c>
      <c r="P11" s="83">
        <f>Assumptions!B20*'Resource Depletion'!P11</f>
        <v>1253.5048249097285</v>
      </c>
      <c r="Q11" s="83">
        <f>Assumptions!B20*'Resource Depletion'!Q11</f>
        <v>1278.5749214079228</v>
      </c>
      <c r="R11" s="83">
        <f>Assumptions!B20*'Resource Depletion'!R11</f>
        <v>1304.1464198360813</v>
      </c>
      <c r="S11" s="83">
        <f>Assumptions!B20*'Resource Depletion'!S11</f>
        <v>1330.2293482328032</v>
      </c>
      <c r="T11" s="83">
        <f>Assumptions!B20*'Resource Depletion'!T11</f>
        <v>1356.8339351974591</v>
      </c>
      <c r="U11" s="83">
        <f>Assumptions!B20*'Resource Depletion'!U11</f>
        <v>1383.9706139014081</v>
      </c>
      <c r="V11" s="83">
        <f>Assumptions!B20*'Resource Depletion'!V11</f>
        <v>1411.6500261794365</v>
      </c>
    </row>
    <row r="12" spans="1:22" ht="15" customHeight="1" x14ac:dyDescent="0.2">
      <c r="A12" s="5" t="s">
        <v>576</v>
      </c>
      <c r="B12" s="83">
        <f>Assumptions!B21*'Resource Depletion'!B11</f>
        <v>1050</v>
      </c>
      <c r="C12" s="83">
        <f>Assumptions!B21*'Resource Depletion'!C11</f>
        <v>1071</v>
      </c>
      <c r="D12" s="83">
        <f>Assumptions!B21*'Resource Depletion'!D11</f>
        <v>1092.42</v>
      </c>
      <c r="E12" s="83">
        <f>Assumptions!B21*'Resource Depletion'!E11</f>
        <v>1114.2683999999999</v>
      </c>
      <c r="F12" s="83">
        <f>Assumptions!B21*'Resource Depletion'!F11</f>
        <v>1136.553768</v>
      </c>
      <c r="G12" s="83">
        <f>Assumptions!B21*'Resource Depletion'!G11</f>
        <v>1159.28484336</v>
      </c>
      <c r="H12" s="83">
        <f>Assumptions!B21*'Resource Depletion'!H11</f>
        <v>1182.4705402272</v>
      </c>
      <c r="I12" s="83">
        <f>Assumptions!B21*'Resource Depletion'!I11</f>
        <v>1206.1199510317438</v>
      </c>
      <c r="J12" s="83">
        <f>Assumptions!B21*'Resource Depletion'!J11</f>
        <v>1230.2423500523787</v>
      </c>
      <c r="K12" s="83">
        <f>Assumptions!B21*'Resource Depletion'!K11</f>
        <v>1254.8471970534263</v>
      </c>
      <c r="L12" s="83">
        <f>Assumptions!B21*'Resource Depletion'!L11</f>
        <v>1279.944140994495</v>
      </c>
      <c r="M12" s="83">
        <f>Assumptions!B21*'Resource Depletion'!M11</f>
        <v>1305.5430238143847</v>
      </c>
      <c r="N12" s="83">
        <f>Assumptions!B21*'Resource Depletion'!N11</f>
        <v>1331.6538842906725</v>
      </c>
      <c r="O12" s="83">
        <f>Assumptions!B21*'Resource Depletion'!O11</f>
        <v>1358.2869619764858</v>
      </c>
      <c r="P12" s="83">
        <f>Assumptions!B21*'Resource Depletion'!P11</f>
        <v>1385.4527012160158</v>
      </c>
      <c r="Q12" s="83">
        <f>Assumptions!B21*'Resource Depletion'!Q11</f>
        <v>1413.1617552403357</v>
      </c>
      <c r="R12" s="83">
        <f>Assumptions!B21*'Resource Depletion'!R11</f>
        <v>1441.4249903451425</v>
      </c>
      <c r="S12" s="83">
        <f>Assumptions!B21*'Resource Depletion'!S11</f>
        <v>1470.2534901520455</v>
      </c>
      <c r="T12" s="83">
        <f>Assumptions!B21*'Resource Depletion'!T11</f>
        <v>1499.6585599550863</v>
      </c>
      <c r="U12" s="83">
        <f>Assumptions!B21*'Resource Depletion'!U11</f>
        <v>1529.6517311541879</v>
      </c>
      <c r="V12" s="83">
        <f>Assumptions!B21*'Resource Depletion'!V11</f>
        <v>1560.2447657772721</v>
      </c>
    </row>
    <row r="13" spans="1:22" ht="15" customHeight="1" x14ac:dyDescent="0.2">
      <c r="A13" s="5" t="s">
        <v>577</v>
      </c>
      <c r="B13" s="83">
        <f>Assumptions!B22*'Resource Depletion'!B11</f>
        <v>4500</v>
      </c>
      <c r="C13" s="83">
        <f>Assumptions!B22*'Resource Depletion'!C11</f>
        <v>4590</v>
      </c>
      <c r="D13" s="83">
        <f>Assumptions!B22*'Resource Depletion'!D11</f>
        <v>4681.8</v>
      </c>
      <c r="E13" s="83">
        <f>Assumptions!B22*'Resource Depletion'!E11</f>
        <v>4775.4359999999997</v>
      </c>
      <c r="F13" s="83">
        <f>Assumptions!B22*'Resource Depletion'!F11</f>
        <v>4870.9447199999995</v>
      </c>
      <c r="G13" s="83">
        <f>Assumptions!B22*'Resource Depletion'!G11</f>
        <v>4968.3636144000002</v>
      </c>
      <c r="H13" s="83">
        <f>Assumptions!B22*'Resource Depletion'!H11</f>
        <v>5067.7308866880003</v>
      </c>
      <c r="I13" s="83">
        <f>Assumptions!B22*'Resource Depletion'!I11</f>
        <v>5169.0855044217587</v>
      </c>
      <c r="J13" s="83">
        <f>Assumptions!B22*'Resource Depletion'!J11</f>
        <v>5272.4672145101949</v>
      </c>
      <c r="K13" s="83">
        <f>Assumptions!B22*'Resource Depletion'!K11</f>
        <v>5377.9165588003989</v>
      </c>
      <c r="L13" s="83">
        <f>Assumptions!B22*'Resource Depletion'!L11</f>
        <v>5485.4748899764072</v>
      </c>
      <c r="M13" s="83">
        <f>Assumptions!B22*'Resource Depletion'!M11</f>
        <v>5595.1843877759338</v>
      </c>
      <c r="N13" s="83">
        <f>Assumptions!B22*'Resource Depletion'!N11</f>
        <v>5707.0880755314538</v>
      </c>
      <c r="O13" s="83">
        <f>Assumptions!B22*'Resource Depletion'!O11</f>
        <v>5821.2298370420822</v>
      </c>
      <c r="P13" s="83">
        <f>Assumptions!B22*'Resource Depletion'!P11</f>
        <v>5937.6544337829246</v>
      </c>
      <c r="Q13" s="83">
        <f>Assumptions!B22*'Resource Depletion'!Q11</f>
        <v>6056.4075224585813</v>
      </c>
      <c r="R13" s="83">
        <f>Assumptions!B22*'Resource Depletion'!R11</f>
        <v>6177.5356729077539</v>
      </c>
      <c r="S13" s="83">
        <f>Assumptions!B22*'Resource Depletion'!S11</f>
        <v>6301.0863863659097</v>
      </c>
      <c r="T13" s="83">
        <f>Assumptions!B22*'Resource Depletion'!T11</f>
        <v>6427.1081140932274</v>
      </c>
      <c r="U13" s="83">
        <f>Assumptions!B22*'Resource Depletion'!U11</f>
        <v>6555.6502763750914</v>
      </c>
      <c r="V13" s="83">
        <f>Assumptions!B22*'Resource Depletion'!V11</f>
        <v>6686.7632819025939</v>
      </c>
    </row>
    <row r="14" spans="1:22" ht="15" customHeight="1" x14ac:dyDescent="0.2">
      <c r="A14" s="5" t="s">
        <v>578</v>
      </c>
      <c r="B14" s="83">
        <f>Assumptions!B23*'Resource Depletion'!B11</f>
        <v>1950</v>
      </c>
      <c r="C14" s="83">
        <f>Assumptions!B23*'Resource Depletion'!C11</f>
        <v>1989</v>
      </c>
      <c r="D14" s="83">
        <f>Assumptions!B23*'Resource Depletion'!D11</f>
        <v>2028.78</v>
      </c>
      <c r="E14" s="83">
        <f>Assumptions!B23*'Resource Depletion'!E11</f>
        <v>2069.3555999999999</v>
      </c>
      <c r="F14" s="83">
        <f>Assumptions!B23*'Resource Depletion'!F11</f>
        <v>2110.7427119999998</v>
      </c>
      <c r="G14" s="83">
        <f>Assumptions!B23*'Resource Depletion'!G11</f>
        <v>2152.9575662400002</v>
      </c>
      <c r="H14" s="83">
        <f>Assumptions!B23*'Resource Depletion'!H11</f>
        <v>2196.0167175648003</v>
      </c>
      <c r="I14" s="83">
        <f>Assumptions!B23*'Resource Depletion'!I11</f>
        <v>2239.9370519160957</v>
      </c>
      <c r="J14" s="83">
        <f>Assumptions!B23*'Resource Depletion'!J11</f>
        <v>2284.7357929544178</v>
      </c>
      <c r="K14" s="83">
        <f>Assumptions!B23*'Resource Depletion'!K11</f>
        <v>2330.4305088135061</v>
      </c>
      <c r="L14" s="83">
        <f>Assumptions!B23*'Resource Depletion'!L11</f>
        <v>2377.0391189897764</v>
      </c>
      <c r="M14" s="83">
        <f>Assumptions!B23*'Resource Depletion'!M11</f>
        <v>2424.5799013695714</v>
      </c>
      <c r="N14" s="83">
        <f>Assumptions!B23*'Resource Depletion'!N11</f>
        <v>2473.0714993969632</v>
      </c>
      <c r="O14" s="83">
        <f>Assumptions!B23*'Resource Depletion'!O11</f>
        <v>2522.5329293849022</v>
      </c>
      <c r="P14" s="83">
        <f>Assumptions!B23*'Resource Depletion'!P11</f>
        <v>2572.9835879726006</v>
      </c>
      <c r="Q14" s="83">
        <f>Assumptions!B23*'Resource Depletion'!Q11</f>
        <v>2624.443259732052</v>
      </c>
      <c r="R14" s="83">
        <f>Assumptions!B23*'Resource Depletion'!R11</f>
        <v>2676.9321249266936</v>
      </c>
      <c r="S14" s="83">
        <f>Assumptions!B23*'Resource Depletion'!S11</f>
        <v>2730.4707674252277</v>
      </c>
      <c r="T14" s="83">
        <f>Assumptions!B23*'Resource Depletion'!T11</f>
        <v>2785.0801827737318</v>
      </c>
      <c r="U14" s="83">
        <f>Assumptions!B23*'Resource Depletion'!U11</f>
        <v>2840.7817864292065</v>
      </c>
      <c r="V14" s="83">
        <f>Assumptions!B23*'Resource Depletion'!V11</f>
        <v>2897.5974221577908</v>
      </c>
    </row>
    <row r="16" spans="1:22" ht="15" customHeight="1" x14ac:dyDescent="0.2">
      <c r="A16" s="15" t="s">
        <v>579</v>
      </c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</row>
    <row r="17" spans="1:22" ht="15" customHeight="1" x14ac:dyDescent="0.2">
      <c r="A17" s="5" t="s">
        <v>580</v>
      </c>
      <c r="B17" s="75">
        <f>B8*'Resource Depletion'!B37*Assumptions!B101</f>
        <v>0</v>
      </c>
      <c r="C17" s="75">
        <f>C8*'Resource Depletion'!C37*Assumptions!B101</f>
        <v>0</v>
      </c>
      <c r="D17" s="75">
        <f>D8*'Resource Depletion'!D37*Assumptions!B101</f>
        <v>0</v>
      </c>
      <c r="E17" s="75">
        <f>E8*'Resource Depletion'!E37*Assumptions!B101</f>
        <v>80556.850515215323</v>
      </c>
      <c r="F17" s="75">
        <f>F8*'Resource Depletion'!F37*Assumptions!B101</f>
        <v>120835.27577282298</v>
      </c>
      <c r="G17" s="75">
        <f>G8*'Resource Depletion'!G37*Assumptions!B101</f>
        <v>145002.33092738758</v>
      </c>
      <c r="H17" s="75">
        <f>H8*'Resource Depletion'!H37*Assumptions!B101</f>
        <v>161113.70103043065</v>
      </c>
      <c r="I17" s="75">
        <f>I8*'Resource Depletion'!I37*Assumptions!B101</f>
        <v>161113.70103043065</v>
      </c>
      <c r="J17" s="75">
        <f>J8*'Resource Depletion'!J37*Assumptions!B101</f>
        <v>0</v>
      </c>
      <c r="K17" s="75">
        <f>K8*'Resource Depletion'!K37*Assumptions!B101</f>
        <v>0</v>
      </c>
      <c r="L17" s="75">
        <f>L8*'Resource Depletion'!L37*Assumptions!B101</f>
        <v>0</v>
      </c>
      <c r="M17" s="75">
        <f>M8*'Resource Depletion'!M37*Assumptions!B101</f>
        <v>0</v>
      </c>
      <c r="N17" s="75">
        <f>N8*'Resource Depletion'!N37*Assumptions!B101</f>
        <v>0</v>
      </c>
      <c r="O17" s="75">
        <f>O8*'Resource Depletion'!O37*Assumptions!B101</f>
        <v>0</v>
      </c>
      <c r="P17" s="75">
        <f>P8*'Resource Depletion'!P37*Assumptions!B101</f>
        <v>0</v>
      </c>
      <c r="Q17" s="75">
        <f>Q8*'Resource Depletion'!Q37*Assumptions!B101</f>
        <v>0</v>
      </c>
      <c r="R17" s="75">
        <f>R8*'Resource Depletion'!R37*Assumptions!B101</f>
        <v>0</v>
      </c>
      <c r="S17" s="75">
        <f>S8*'Resource Depletion'!S37*Assumptions!B101</f>
        <v>0</v>
      </c>
      <c r="T17" s="75">
        <f>T8*'Resource Depletion'!T37*Assumptions!B101</f>
        <v>0</v>
      </c>
      <c r="U17" s="75">
        <f>U8*'Resource Depletion'!U37*Assumptions!B101</f>
        <v>0</v>
      </c>
      <c r="V17" s="75">
        <f>V8*'Resource Depletion'!V37*Assumptions!B101</f>
        <v>0</v>
      </c>
    </row>
    <row r="18" spans="1:22" ht="15" customHeight="1" x14ac:dyDescent="0.2">
      <c r="A18" s="5" t="s">
        <v>581</v>
      </c>
      <c r="B18" s="75">
        <f>'Resource Depletion'!B37-B17</f>
        <v>0</v>
      </c>
      <c r="C18" s="75">
        <f>'Resource Depletion'!C37-C17</f>
        <v>0</v>
      </c>
      <c r="D18" s="75">
        <f>'Resource Depletion'!D37-D17</f>
        <v>0</v>
      </c>
      <c r="E18" s="75">
        <f>'Resource Depletion'!E37-E17</f>
        <v>80556.850515215323</v>
      </c>
      <c r="F18" s="75">
        <f>'Resource Depletion'!F37-F17</f>
        <v>120835.27577282298</v>
      </c>
      <c r="G18" s="75">
        <f>'Resource Depletion'!G37-G17</f>
        <v>145002.33092738758</v>
      </c>
      <c r="H18" s="75">
        <f>'Resource Depletion'!H37-H17</f>
        <v>161113.70103043065</v>
      </c>
      <c r="I18" s="75">
        <f>'Resource Depletion'!I37-I17</f>
        <v>161113.70103043065</v>
      </c>
      <c r="J18" s="75">
        <f>'Resource Depletion'!J37-J17</f>
        <v>322227.40206086129</v>
      </c>
      <c r="K18" s="75">
        <f>'Resource Depletion'!K37-K17</f>
        <v>322227.40206086129</v>
      </c>
      <c r="L18" s="75">
        <f>'Resource Depletion'!L37-L17</f>
        <v>322227.40206086129</v>
      </c>
      <c r="M18" s="75">
        <f>'Resource Depletion'!M37-M17</f>
        <v>322227.40206086129</v>
      </c>
      <c r="N18" s="75">
        <f>'Resource Depletion'!N37-N17</f>
        <v>322227.40206086129</v>
      </c>
      <c r="O18" s="75">
        <f>'Resource Depletion'!O37-O17</f>
        <v>322227.40206086129</v>
      </c>
      <c r="P18" s="75">
        <f>'Resource Depletion'!P37-P17</f>
        <v>322227.40206086129</v>
      </c>
      <c r="Q18" s="75">
        <f>'Resource Depletion'!Q37-Q17</f>
        <v>322227.40206086129</v>
      </c>
      <c r="R18" s="75">
        <f>'Resource Depletion'!R37-R17</f>
        <v>322227.40206086129</v>
      </c>
      <c r="S18" s="75">
        <f>'Resource Depletion'!S37-S17</f>
        <v>322227.40206086129</v>
      </c>
      <c r="T18" s="75">
        <f>'Resource Depletion'!T37-T17</f>
        <v>322227.40206086129</v>
      </c>
      <c r="U18" s="75">
        <f>'Resource Depletion'!U37-U17</f>
        <v>322227.40206086129</v>
      </c>
      <c r="V18" s="75">
        <f>'Resource Depletion'!V37-V17</f>
        <v>0</v>
      </c>
    </row>
    <row r="19" spans="1:22" ht="15" customHeight="1" x14ac:dyDescent="0.2">
      <c r="A19" s="5" t="s">
        <v>582</v>
      </c>
      <c r="B19" s="75">
        <f>B8*'Resource Depletion'!B38*Assumptions!B106</f>
        <v>0</v>
      </c>
      <c r="C19" s="75">
        <f>C8*'Resource Depletion'!C38*Assumptions!B106</f>
        <v>0</v>
      </c>
      <c r="D19" s="75">
        <f>D8*'Resource Depletion'!D38*Assumptions!B106</f>
        <v>0</v>
      </c>
      <c r="E19" s="75">
        <f>E8*'Resource Depletion'!E38*Assumptions!B106</f>
        <v>39352.484447087947</v>
      </c>
      <c r="F19" s="75">
        <f>F8*'Resource Depletion'!F38*Assumptions!B106</f>
        <v>59028.726670631935</v>
      </c>
      <c r="G19" s="75">
        <f>G8*'Resource Depletion'!G38*Assumptions!B106</f>
        <v>70834.472004758296</v>
      </c>
      <c r="H19" s="75">
        <f>H8*'Resource Depletion'!H38*Assumptions!B106</f>
        <v>78704.968894175894</v>
      </c>
      <c r="I19" s="75">
        <f>I8*'Resource Depletion'!I38*Assumptions!B106</f>
        <v>78704.968894175894</v>
      </c>
      <c r="J19" s="75">
        <f>J8*'Resource Depletion'!J38*Assumptions!B106</f>
        <v>0</v>
      </c>
      <c r="K19" s="75">
        <f>K8*'Resource Depletion'!K38*Assumptions!B106</f>
        <v>0</v>
      </c>
      <c r="L19" s="75">
        <f>L8*'Resource Depletion'!L38*Assumptions!B106</f>
        <v>0</v>
      </c>
      <c r="M19" s="75">
        <f>M8*'Resource Depletion'!M38*Assumptions!B106</f>
        <v>0</v>
      </c>
      <c r="N19" s="75">
        <f>N8*'Resource Depletion'!N38*Assumptions!B106</f>
        <v>0</v>
      </c>
      <c r="O19" s="75">
        <f>O8*'Resource Depletion'!O38*Assumptions!B106</f>
        <v>0</v>
      </c>
      <c r="P19" s="75">
        <f>P8*'Resource Depletion'!P38*Assumptions!B106</f>
        <v>0</v>
      </c>
      <c r="Q19" s="75">
        <f>Q8*'Resource Depletion'!Q38*Assumptions!B106</f>
        <v>0</v>
      </c>
      <c r="R19" s="75">
        <f>R8*'Resource Depletion'!R38*Assumptions!B106</f>
        <v>0</v>
      </c>
      <c r="S19" s="75">
        <f>S8*'Resource Depletion'!S38*Assumptions!B106</f>
        <v>0</v>
      </c>
      <c r="T19" s="75">
        <f>T8*'Resource Depletion'!T38*Assumptions!B106</f>
        <v>0</v>
      </c>
      <c r="U19" s="75">
        <f>U8*'Resource Depletion'!U38*Assumptions!B106</f>
        <v>0</v>
      </c>
      <c r="V19" s="75">
        <f>V8*'Resource Depletion'!V38*Assumptions!B106</f>
        <v>0</v>
      </c>
    </row>
    <row r="20" spans="1:22" ht="15" customHeight="1" x14ac:dyDescent="0.2">
      <c r="A20" s="5" t="s">
        <v>583</v>
      </c>
      <c r="B20" s="75">
        <f>'Resource Depletion'!B38-B19</f>
        <v>0</v>
      </c>
      <c r="C20" s="75">
        <f>'Resource Depletion'!C38-C19</f>
        <v>0</v>
      </c>
      <c r="D20" s="75">
        <f>'Resource Depletion'!D38-D19</f>
        <v>0</v>
      </c>
      <c r="E20" s="75">
        <f>'Resource Depletion'!E38-E19</f>
        <v>59028.726670631921</v>
      </c>
      <c r="F20" s="75">
        <f>'Resource Depletion'!F38-F19</f>
        <v>88543.090005947888</v>
      </c>
      <c r="G20" s="75">
        <f>'Resource Depletion'!G38-G19</f>
        <v>106251.70800713745</v>
      </c>
      <c r="H20" s="75">
        <f>'Resource Depletion'!H38-H19</f>
        <v>118057.45334126384</v>
      </c>
      <c r="I20" s="75">
        <f>'Resource Depletion'!I38-I19</f>
        <v>118057.45334126384</v>
      </c>
      <c r="J20" s="75">
        <f>'Resource Depletion'!J38-J19</f>
        <v>196762.42223543974</v>
      </c>
      <c r="K20" s="75">
        <f>'Resource Depletion'!K38-K19</f>
        <v>196762.42223543974</v>
      </c>
      <c r="L20" s="75">
        <f>'Resource Depletion'!L38-L19</f>
        <v>196762.42223543974</v>
      </c>
      <c r="M20" s="75">
        <f>'Resource Depletion'!M38-M19</f>
        <v>196762.42223543974</v>
      </c>
      <c r="N20" s="75">
        <f>'Resource Depletion'!N38-N19</f>
        <v>196762.42223543974</v>
      </c>
      <c r="O20" s="75">
        <f>'Resource Depletion'!O38-O19</f>
        <v>196762.42223543974</v>
      </c>
      <c r="P20" s="75">
        <f>'Resource Depletion'!P38-P19</f>
        <v>196762.42223543974</v>
      </c>
      <c r="Q20" s="75">
        <f>'Resource Depletion'!Q38-Q19</f>
        <v>196762.42223543974</v>
      </c>
      <c r="R20" s="75">
        <f>'Resource Depletion'!R38-R19</f>
        <v>196762.42223543974</v>
      </c>
      <c r="S20" s="75">
        <f>'Resource Depletion'!S38-S19</f>
        <v>196762.42223543974</v>
      </c>
      <c r="T20" s="75">
        <f>'Resource Depletion'!T38-T19</f>
        <v>196762.42223543974</v>
      </c>
      <c r="U20" s="75">
        <f>'Resource Depletion'!U38-U19</f>
        <v>196762.42223543974</v>
      </c>
      <c r="V20" s="75">
        <f>'Resource Depletion'!V38-V19</f>
        <v>0</v>
      </c>
    </row>
    <row r="21" spans="1:22" ht="15" customHeight="1" x14ac:dyDescent="0.2">
      <c r="A21" s="5" t="s">
        <v>584</v>
      </c>
      <c r="B21" s="75">
        <f>B8*'Resource Depletion'!B39*Assumptions!B110</f>
        <v>0</v>
      </c>
      <c r="C21" s="75">
        <f>C8*'Resource Depletion'!C39*Assumptions!B110</f>
        <v>0</v>
      </c>
      <c r="D21" s="75">
        <f>D8*'Resource Depletion'!D39*Assumptions!B110</f>
        <v>0</v>
      </c>
      <c r="E21" s="75">
        <f>E8*'Resource Depletion'!E39*Assumptions!B110</f>
        <v>3250.0522449242048</v>
      </c>
      <c r="F21" s="75">
        <f>F8*'Resource Depletion'!F39*Assumptions!B110</f>
        <v>4875.0783673863061</v>
      </c>
      <c r="G21" s="75">
        <f>G8*'Resource Depletion'!G39*Assumptions!B110</f>
        <v>5850.0940408635679</v>
      </c>
      <c r="H21" s="75">
        <f>H8*'Resource Depletion'!H39*Assumptions!B110</f>
        <v>6500.1044898484097</v>
      </c>
      <c r="I21" s="75">
        <f>I8*'Resource Depletion'!I39*Assumptions!B110</f>
        <v>6500.1044898484097</v>
      </c>
      <c r="J21" s="75">
        <f>J8*'Resource Depletion'!J39*Assumptions!B110</f>
        <v>0</v>
      </c>
      <c r="K21" s="75">
        <f>K8*'Resource Depletion'!K39*Assumptions!B110</f>
        <v>0</v>
      </c>
      <c r="L21" s="75">
        <f>L8*'Resource Depletion'!L39*Assumptions!B110</f>
        <v>0</v>
      </c>
      <c r="M21" s="75">
        <f>M8*'Resource Depletion'!M39*Assumptions!B110</f>
        <v>0</v>
      </c>
      <c r="N21" s="75">
        <f>N8*'Resource Depletion'!N39*Assumptions!B110</f>
        <v>0</v>
      </c>
      <c r="O21" s="75">
        <f>O8*'Resource Depletion'!O39*Assumptions!B110</f>
        <v>0</v>
      </c>
      <c r="P21" s="75">
        <f>P8*'Resource Depletion'!P39*Assumptions!B110</f>
        <v>0</v>
      </c>
      <c r="Q21" s="75">
        <f>Q8*'Resource Depletion'!Q39*Assumptions!B110</f>
        <v>0</v>
      </c>
      <c r="R21" s="75">
        <f>R8*'Resource Depletion'!R39*Assumptions!B110</f>
        <v>0</v>
      </c>
      <c r="S21" s="75">
        <f>S8*'Resource Depletion'!S39*Assumptions!B110</f>
        <v>0</v>
      </c>
      <c r="T21" s="75">
        <f>T8*'Resource Depletion'!T39*Assumptions!B110</f>
        <v>0</v>
      </c>
      <c r="U21" s="75">
        <f>U8*'Resource Depletion'!U39*Assumptions!B110</f>
        <v>0</v>
      </c>
      <c r="V21" s="75">
        <f>V8*'Resource Depletion'!V39*Assumptions!B110</f>
        <v>0</v>
      </c>
    </row>
    <row r="22" spans="1:22" ht="15" customHeight="1" x14ac:dyDescent="0.2">
      <c r="A22" s="5" t="s">
        <v>585</v>
      </c>
      <c r="B22" s="75">
        <f>'Resource Depletion'!B39-B21</f>
        <v>0</v>
      </c>
      <c r="C22" s="75">
        <f>'Resource Depletion'!C39-C21</f>
        <v>0</v>
      </c>
      <c r="D22" s="75">
        <f>'Resource Depletion'!D39-D21</f>
        <v>0</v>
      </c>
      <c r="E22" s="75">
        <f>'Resource Depletion'!E39-E21</f>
        <v>7583.4552381564772</v>
      </c>
      <c r="F22" s="75">
        <f>'Resource Depletion'!F39-F21</f>
        <v>11375.182857234715</v>
      </c>
      <c r="G22" s="75">
        <f>'Resource Depletion'!G39-G21</f>
        <v>13650.219428681659</v>
      </c>
      <c r="H22" s="75">
        <f>'Resource Depletion'!H39-H21</f>
        <v>15166.910476312954</v>
      </c>
      <c r="I22" s="75">
        <f>'Resource Depletion'!I39-I21</f>
        <v>15166.910476312954</v>
      </c>
      <c r="J22" s="75">
        <f>'Resource Depletion'!J39-J21</f>
        <v>21667.014966161365</v>
      </c>
      <c r="K22" s="75">
        <f>'Resource Depletion'!K39-K21</f>
        <v>21667.014966161365</v>
      </c>
      <c r="L22" s="75">
        <f>'Resource Depletion'!L39-L21</f>
        <v>21667.014966161365</v>
      </c>
      <c r="M22" s="75">
        <f>'Resource Depletion'!M39-M21</f>
        <v>21667.014966161365</v>
      </c>
      <c r="N22" s="75">
        <f>'Resource Depletion'!N39-N21</f>
        <v>21667.014966161365</v>
      </c>
      <c r="O22" s="75">
        <f>'Resource Depletion'!O39-O21</f>
        <v>21667.014966161365</v>
      </c>
      <c r="P22" s="75">
        <f>'Resource Depletion'!P39-P21</f>
        <v>21667.014966161365</v>
      </c>
      <c r="Q22" s="75">
        <f>'Resource Depletion'!Q39-Q21</f>
        <v>21667.014966161365</v>
      </c>
      <c r="R22" s="75">
        <f>'Resource Depletion'!R39-R21</f>
        <v>21667.014966161365</v>
      </c>
      <c r="S22" s="75">
        <f>'Resource Depletion'!S39-S21</f>
        <v>21667.014966161365</v>
      </c>
      <c r="T22" s="75">
        <f>'Resource Depletion'!T39-T21</f>
        <v>21667.014966161365</v>
      </c>
      <c r="U22" s="75">
        <f>'Resource Depletion'!U39-U21</f>
        <v>21667.014966161365</v>
      </c>
      <c r="V22" s="75">
        <f>'Resource Depletion'!V39-V21</f>
        <v>0</v>
      </c>
    </row>
    <row r="23" spans="1:22" ht="15" customHeight="1" x14ac:dyDescent="0.2">
      <c r="A23" s="5" t="s">
        <v>586</v>
      </c>
      <c r="B23" s="75">
        <f>B8*'Resource Depletion'!B40*Assumptions!B114</f>
        <v>0</v>
      </c>
      <c r="C23" s="75">
        <f>C8*'Resource Depletion'!C40*Assumptions!B114</f>
        <v>0</v>
      </c>
      <c r="D23" s="75">
        <f>D8*'Resource Depletion'!D40*Assumptions!B114</f>
        <v>0</v>
      </c>
      <c r="E23" s="75">
        <f>E8*'Resource Depletion'!E40*Assumptions!B114</f>
        <v>0</v>
      </c>
      <c r="F23" s="75">
        <f>F8*'Resource Depletion'!F40*Assumptions!B114</f>
        <v>0</v>
      </c>
      <c r="G23" s="75">
        <f>G8*'Resource Depletion'!G40*Assumptions!B114</f>
        <v>0</v>
      </c>
      <c r="H23" s="75">
        <f>H8*'Resource Depletion'!H40*Assumptions!B114</f>
        <v>0</v>
      </c>
      <c r="I23" s="75">
        <f>I8*'Resource Depletion'!I40*Assumptions!B114</f>
        <v>0</v>
      </c>
      <c r="J23" s="75">
        <f>J8*'Resource Depletion'!J40*Assumptions!B114</f>
        <v>0</v>
      </c>
      <c r="K23" s="75">
        <f>K8*'Resource Depletion'!K40*Assumptions!B114</f>
        <v>0</v>
      </c>
      <c r="L23" s="75">
        <f>L8*'Resource Depletion'!L40*Assumptions!B114</f>
        <v>0</v>
      </c>
      <c r="M23" s="75">
        <f>M8*'Resource Depletion'!M40*Assumptions!B114</f>
        <v>0</v>
      </c>
      <c r="N23" s="75">
        <f>N8*'Resource Depletion'!N40*Assumptions!B114</f>
        <v>0</v>
      </c>
      <c r="O23" s="75">
        <f>O8*'Resource Depletion'!O40*Assumptions!B114</f>
        <v>0</v>
      </c>
      <c r="P23" s="75">
        <f>P8*'Resource Depletion'!P40*Assumptions!B114</f>
        <v>0</v>
      </c>
      <c r="Q23" s="75">
        <f>Q8*'Resource Depletion'!Q40*Assumptions!B114</f>
        <v>0</v>
      </c>
      <c r="R23" s="75">
        <f>R8*'Resource Depletion'!R40*Assumptions!B114</f>
        <v>0</v>
      </c>
      <c r="S23" s="75">
        <f>S8*'Resource Depletion'!S40*Assumptions!B114</f>
        <v>0</v>
      </c>
      <c r="T23" s="75">
        <f>T8*'Resource Depletion'!T40*Assumptions!B114</f>
        <v>0</v>
      </c>
      <c r="U23" s="75">
        <f>U8*'Resource Depletion'!U40*Assumptions!B114</f>
        <v>0</v>
      </c>
      <c r="V23" s="75">
        <f>V8*'Resource Depletion'!V40*Assumptions!B114</f>
        <v>0</v>
      </c>
    </row>
    <row r="24" spans="1:22" ht="15" customHeight="1" x14ac:dyDescent="0.2">
      <c r="A24" s="5" t="s">
        <v>587</v>
      </c>
      <c r="B24" s="75">
        <f>'Resource Depletion'!B40-B23</f>
        <v>0</v>
      </c>
      <c r="C24" s="75">
        <f>'Resource Depletion'!C40-C23</f>
        <v>0</v>
      </c>
      <c r="D24" s="75">
        <f>'Resource Depletion'!D40-D23</f>
        <v>0</v>
      </c>
      <c r="E24" s="75">
        <f>'Resource Depletion'!E40-E23</f>
        <v>4513.9614512836179</v>
      </c>
      <c r="F24" s="75">
        <f>'Resource Depletion'!F40-F23</f>
        <v>6770.9421769254259</v>
      </c>
      <c r="G24" s="75">
        <f>'Resource Depletion'!G40-G23</f>
        <v>8125.1306123105123</v>
      </c>
      <c r="H24" s="75">
        <f>'Resource Depletion'!H40-H23</f>
        <v>9027.9229025672357</v>
      </c>
      <c r="I24" s="75">
        <f>'Resource Depletion'!I40-I23</f>
        <v>9027.9229025672357</v>
      </c>
      <c r="J24" s="75">
        <f>'Resource Depletion'!J40-J23</f>
        <v>9027.9229025672357</v>
      </c>
      <c r="K24" s="75">
        <f>'Resource Depletion'!K40-K23</f>
        <v>9027.9229025672357</v>
      </c>
      <c r="L24" s="75">
        <f>'Resource Depletion'!L40-L23</f>
        <v>9027.9229025672357</v>
      </c>
      <c r="M24" s="75">
        <f>'Resource Depletion'!M40-M23</f>
        <v>9027.9229025672357</v>
      </c>
      <c r="N24" s="75">
        <f>'Resource Depletion'!N40-N23</f>
        <v>9027.9229025672357</v>
      </c>
      <c r="O24" s="75">
        <f>'Resource Depletion'!O40-O23</f>
        <v>9027.9229025672357</v>
      </c>
      <c r="P24" s="75">
        <f>'Resource Depletion'!P40-P23</f>
        <v>9027.9229025672357</v>
      </c>
      <c r="Q24" s="75">
        <f>'Resource Depletion'!Q40-Q23</f>
        <v>9027.9229025672357</v>
      </c>
      <c r="R24" s="75">
        <f>'Resource Depletion'!R40-R23</f>
        <v>9027.9229025672357</v>
      </c>
      <c r="S24" s="75">
        <f>'Resource Depletion'!S40-S23</f>
        <v>9027.9229025672357</v>
      </c>
      <c r="T24" s="75">
        <f>'Resource Depletion'!T40-T23</f>
        <v>9027.9229025672357</v>
      </c>
      <c r="U24" s="75">
        <f>'Resource Depletion'!U40-U23</f>
        <v>9027.9229025672357</v>
      </c>
      <c r="V24" s="75">
        <f>'Resource Depletion'!V40-V23</f>
        <v>0</v>
      </c>
    </row>
    <row r="26" spans="1:22" ht="15" customHeight="1" x14ac:dyDescent="0.2">
      <c r="A26" s="19" t="s">
        <v>588</v>
      </c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</row>
    <row r="27" spans="1:22" ht="15" customHeight="1" x14ac:dyDescent="0.2">
      <c r="A27" s="5" t="s">
        <v>589</v>
      </c>
      <c r="B27" s="78">
        <f>B17*Assumptions!B102/1000000</f>
        <v>0</v>
      </c>
      <c r="C27" s="78">
        <f>C17*Assumptions!B102/1000000</f>
        <v>0</v>
      </c>
      <c r="D27" s="78">
        <f>D17*Assumptions!B102/1000000</f>
        <v>0</v>
      </c>
      <c r="E27" s="78">
        <f>E17*Assumptions!B102/1000000</f>
        <v>74.112302473998099</v>
      </c>
      <c r="F27" s="78">
        <f>F17*Assumptions!B102/1000000</f>
        <v>111.16845371099713</v>
      </c>
      <c r="G27" s="78">
        <f>G17*Assumptions!B102/1000000</f>
        <v>133.40214445319657</v>
      </c>
      <c r="H27" s="78">
        <f>H17*Assumptions!B102/1000000</f>
        <v>148.2246049479962</v>
      </c>
      <c r="I27" s="78">
        <f>I17*Assumptions!B102/1000000</f>
        <v>148.2246049479962</v>
      </c>
      <c r="J27" s="78">
        <f>J17*Assumptions!B102/1000000</f>
        <v>0</v>
      </c>
      <c r="K27" s="78">
        <f>K17*Assumptions!B102/1000000</f>
        <v>0</v>
      </c>
      <c r="L27" s="78">
        <f>L17*Assumptions!B102/1000000</f>
        <v>0</v>
      </c>
      <c r="M27" s="78">
        <f>M17*Assumptions!B102/1000000</f>
        <v>0</v>
      </c>
      <c r="N27" s="78">
        <f>N17*Assumptions!B102/1000000</f>
        <v>0</v>
      </c>
      <c r="O27" s="78">
        <f>O17*Assumptions!B102/1000000</f>
        <v>0</v>
      </c>
      <c r="P27" s="78">
        <f>P17*Assumptions!B102/1000000</f>
        <v>0</v>
      </c>
      <c r="Q27" s="78">
        <f>Q17*Assumptions!B102/1000000</f>
        <v>0</v>
      </c>
      <c r="R27" s="78">
        <f>R17*Assumptions!B102/1000000</f>
        <v>0</v>
      </c>
      <c r="S27" s="78">
        <f>S17*Assumptions!B102/1000000</f>
        <v>0</v>
      </c>
      <c r="T27" s="78">
        <f>T17*Assumptions!B102/1000000</f>
        <v>0</v>
      </c>
      <c r="U27" s="78">
        <f>U17*Assumptions!B102/1000000</f>
        <v>0</v>
      </c>
      <c r="V27" s="78">
        <f>V17*Assumptions!B102/1000000</f>
        <v>0</v>
      </c>
    </row>
    <row r="28" spans="1:22" ht="15" customHeight="1" x14ac:dyDescent="0.2">
      <c r="A28" s="5" t="s">
        <v>590</v>
      </c>
      <c r="B28" s="78">
        <f t="shared" ref="B28:V28" si="0">B18*B11/1000000</f>
        <v>0</v>
      </c>
      <c r="C28" s="78">
        <f t="shared" si="0"/>
        <v>0</v>
      </c>
      <c r="D28" s="78">
        <f t="shared" si="0"/>
        <v>0</v>
      </c>
      <c r="E28" s="78">
        <f t="shared" si="0"/>
        <v>81.213195510473085</v>
      </c>
      <c r="F28" s="78">
        <f t="shared" si="0"/>
        <v>124.2561891310238</v>
      </c>
      <c r="G28" s="78">
        <f t="shared" si="0"/>
        <v>152.08957549637319</v>
      </c>
      <c r="H28" s="78">
        <f t="shared" si="0"/>
        <v>172.36818556255628</v>
      </c>
      <c r="I28" s="78">
        <f t="shared" si="0"/>
        <v>175.81554927380736</v>
      </c>
      <c r="J28" s="78">
        <f t="shared" si="0"/>
        <v>358.663720518567</v>
      </c>
      <c r="K28" s="78">
        <f t="shared" si="0"/>
        <v>365.83699492893834</v>
      </c>
      <c r="L28" s="78">
        <f t="shared" si="0"/>
        <v>373.15373482751716</v>
      </c>
      <c r="M28" s="78">
        <f t="shared" si="0"/>
        <v>380.61680952406743</v>
      </c>
      <c r="N28" s="78">
        <f t="shared" si="0"/>
        <v>388.22914571454885</v>
      </c>
      <c r="O28" s="78">
        <f t="shared" si="0"/>
        <v>395.99372862883979</v>
      </c>
      <c r="P28" s="78">
        <f t="shared" si="0"/>
        <v>403.91360320141661</v>
      </c>
      <c r="Q28" s="78">
        <f t="shared" si="0"/>
        <v>411.99187526544489</v>
      </c>
      <c r="R28" s="78">
        <f t="shared" si="0"/>
        <v>420.2317127707538</v>
      </c>
      <c r="S28" s="78">
        <f t="shared" si="0"/>
        <v>428.63634702616895</v>
      </c>
      <c r="T28" s="78">
        <f t="shared" si="0"/>
        <v>437.20907396669224</v>
      </c>
      <c r="U28" s="78">
        <f t="shared" si="0"/>
        <v>445.95325544602611</v>
      </c>
      <c r="V28" s="78">
        <f t="shared" si="0"/>
        <v>0</v>
      </c>
    </row>
    <row r="29" spans="1:22" ht="15" customHeight="1" x14ac:dyDescent="0.2">
      <c r="A29" s="35" t="s">
        <v>591</v>
      </c>
      <c r="B29" s="84">
        <f t="shared" ref="B29:V29" si="1">B27+B28</f>
        <v>0</v>
      </c>
      <c r="C29" s="84">
        <f t="shared" si="1"/>
        <v>0</v>
      </c>
      <c r="D29" s="84">
        <f t="shared" si="1"/>
        <v>0</v>
      </c>
      <c r="E29" s="84">
        <f t="shared" si="1"/>
        <v>155.32549798447118</v>
      </c>
      <c r="F29" s="84">
        <f t="shared" si="1"/>
        <v>235.42464284202094</v>
      </c>
      <c r="G29" s="84">
        <f t="shared" si="1"/>
        <v>285.49171994956976</v>
      </c>
      <c r="H29" s="84">
        <f t="shared" si="1"/>
        <v>320.5927905105525</v>
      </c>
      <c r="I29" s="84">
        <f t="shared" si="1"/>
        <v>324.04015422180356</v>
      </c>
      <c r="J29" s="84">
        <f t="shared" si="1"/>
        <v>358.663720518567</v>
      </c>
      <c r="K29" s="84">
        <f t="shared" si="1"/>
        <v>365.83699492893834</v>
      </c>
      <c r="L29" s="84">
        <f t="shared" si="1"/>
        <v>373.15373482751716</v>
      </c>
      <c r="M29" s="84">
        <f t="shared" si="1"/>
        <v>380.61680952406743</v>
      </c>
      <c r="N29" s="84">
        <f t="shared" si="1"/>
        <v>388.22914571454885</v>
      </c>
      <c r="O29" s="84">
        <f t="shared" si="1"/>
        <v>395.99372862883979</v>
      </c>
      <c r="P29" s="84">
        <f t="shared" si="1"/>
        <v>403.91360320141661</v>
      </c>
      <c r="Q29" s="84">
        <f t="shared" si="1"/>
        <v>411.99187526544489</v>
      </c>
      <c r="R29" s="84">
        <f t="shared" si="1"/>
        <v>420.2317127707538</v>
      </c>
      <c r="S29" s="84">
        <f t="shared" si="1"/>
        <v>428.63634702616895</v>
      </c>
      <c r="T29" s="84">
        <f t="shared" si="1"/>
        <v>437.20907396669224</v>
      </c>
      <c r="U29" s="84">
        <f t="shared" si="1"/>
        <v>445.95325544602611</v>
      </c>
      <c r="V29" s="84">
        <f t="shared" si="1"/>
        <v>0</v>
      </c>
    </row>
    <row r="30" spans="1:22" ht="15" customHeight="1" x14ac:dyDescent="0.2">
      <c r="A30" s="35" t="s">
        <v>592</v>
      </c>
      <c r="B30" s="85">
        <f t="shared" ref="B30:V30" si="2">B27-B17*B11/1000000</f>
        <v>0</v>
      </c>
      <c r="C30" s="85">
        <f t="shared" si="2"/>
        <v>0</v>
      </c>
      <c r="D30" s="85">
        <f t="shared" si="2"/>
        <v>0</v>
      </c>
      <c r="E30" s="85">
        <f t="shared" si="2"/>
        <v>-7.1008930364749858</v>
      </c>
      <c r="F30" s="85">
        <f t="shared" si="2"/>
        <v>-13.087735420026675</v>
      </c>
      <c r="G30" s="85">
        <f t="shared" si="2"/>
        <v>-18.687431043176616</v>
      </c>
      <c r="H30" s="85">
        <f t="shared" si="2"/>
        <v>-24.143580614560079</v>
      </c>
      <c r="I30" s="85">
        <f t="shared" si="2"/>
        <v>-27.590944325811165</v>
      </c>
      <c r="J30" s="85">
        <f t="shared" si="2"/>
        <v>0</v>
      </c>
      <c r="K30" s="85">
        <f t="shared" si="2"/>
        <v>0</v>
      </c>
      <c r="L30" s="85">
        <f t="shared" si="2"/>
        <v>0</v>
      </c>
      <c r="M30" s="85">
        <f t="shared" si="2"/>
        <v>0</v>
      </c>
      <c r="N30" s="85">
        <f t="shared" si="2"/>
        <v>0</v>
      </c>
      <c r="O30" s="85">
        <f t="shared" si="2"/>
        <v>0</v>
      </c>
      <c r="P30" s="85">
        <f t="shared" si="2"/>
        <v>0</v>
      </c>
      <c r="Q30" s="85">
        <f t="shared" si="2"/>
        <v>0</v>
      </c>
      <c r="R30" s="85">
        <f t="shared" si="2"/>
        <v>0</v>
      </c>
      <c r="S30" s="85">
        <f t="shared" si="2"/>
        <v>0</v>
      </c>
      <c r="T30" s="85">
        <f t="shared" si="2"/>
        <v>0</v>
      </c>
      <c r="U30" s="85">
        <f t="shared" si="2"/>
        <v>0</v>
      </c>
      <c r="V30" s="85">
        <f t="shared" si="2"/>
        <v>0</v>
      </c>
    </row>
    <row r="32" spans="1:22" ht="15" customHeight="1" x14ac:dyDescent="0.2">
      <c r="A32" s="5" t="s">
        <v>593</v>
      </c>
      <c r="B32" s="78">
        <f>B19*Assumptions!B107/1000000</f>
        <v>0</v>
      </c>
      <c r="C32" s="78">
        <f>C19*Assumptions!B107/1000000</f>
        <v>0</v>
      </c>
      <c r="D32" s="78">
        <f>D19*Assumptions!B107/1000000</f>
        <v>0</v>
      </c>
      <c r="E32" s="78">
        <f>E19*Assumptions!B107/1000000</f>
        <v>39.352484447087946</v>
      </c>
      <c r="F32" s="78">
        <f>F19*Assumptions!B107/1000000</f>
        <v>59.02872667063194</v>
      </c>
      <c r="G32" s="78">
        <f>G19*Assumptions!B107/1000000</f>
        <v>70.834472004758297</v>
      </c>
      <c r="H32" s="78">
        <f>H19*Assumptions!B107/1000000</f>
        <v>78.704968894175892</v>
      </c>
      <c r="I32" s="78">
        <f>I19*Assumptions!B107/1000000</f>
        <v>78.704968894175892</v>
      </c>
      <c r="J32" s="78">
        <f>J19*Assumptions!B107/1000000</f>
        <v>0</v>
      </c>
      <c r="K32" s="78">
        <f>K19*Assumptions!B107/1000000</f>
        <v>0</v>
      </c>
      <c r="L32" s="78">
        <f>L19*Assumptions!B107/1000000</f>
        <v>0</v>
      </c>
      <c r="M32" s="78">
        <f>M19*Assumptions!B107/1000000</f>
        <v>0</v>
      </c>
      <c r="N32" s="78">
        <f>N19*Assumptions!B107/1000000</f>
        <v>0</v>
      </c>
      <c r="O32" s="78">
        <f>O19*Assumptions!B107/1000000</f>
        <v>0</v>
      </c>
      <c r="P32" s="78">
        <f>P19*Assumptions!B107/1000000</f>
        <v>0</v>
      </c>
      <c r="Q32" s="78">
        <f>Q19*Assumptions!B107/1000000</f>
        <v>0</v>
      </c>
      <c r="R32" s="78">
        <f>R19*Assumptions!B107/1000000</f>
        <v>0</v>
      </c>
      <c r="S32" s="78">
        <f>S19*Assumptions!B107/1000000</f>
        <v>0</v>
      </c>
      <c r="T32" s="78">
        <f>T19*Assumptions!B107/1000000</f>
        <v>0</v>
      </c>
      <c r="U32" s="78">
        <f>U19*Assumptions!B107/1000000</f>
        <v>0</v>
      </c>
      <c r="V32" s="78">
        <f>V19*Assumptions!B107/1000000</f>
        <v>0</v>
      </c>
    </row>
    <row r="33" spans="1:22" ht="15" customHeight="1" x14ac:dyDescent="0.2">
      <c r="A33" s="5" t="s">
        <v>594</v>
      </c>
      <c r="B33" s="78">
        <f t="shared" ref="B33:V33" si="3">B20*B12/1000000</f>
        <v>0</v>
      </c>
      <c r="C33" s="78">
        <f t="shared" si="3"/>
        <v>0</v>
      </c>
      <c r="D33" s="78">
        <f t="shared" si="3"/>
        <v>0</v>
      </c>
      <c r="E33" s="78">
        <f t="shared" si="3"/>
        <v>65.773844821322356</v>
      </c>
      <c r="F33" s="78">
        <f t="shared" si="3"/>
        <v>100.63398257662321</v>
      </c>
      <c r="G33" s="78">
        <f t="shared" si="3"/>
        <v>123.17599467378679</v>
      </c>
      <c r="H33" s="78">
        <f t="shared" si="3"/>
        <v>139.5994606302917</v>
      </c>
      <c r="I33" s="78">
        <f t="shared" si="3"/>
        <v>142.39144984289752</v>
      </c>
      <c r="J33" s="78">
        <f t="shared" si="3"/>
        <v>242.06546473292579</v>
      </c>
      <c r="K33" s="78">
        <f t="shared" si="3"/>
        <v>246.90677402758431</v>
      </c>
      <c r="L33" s="78">
        <f t="shared" si="3"/>
        <v>251.84490950813603</v>
      </c>
      <c r="M33" s="78">
        <f t="shared" si="3"/>
        <v>256.8818076982987</v>
      </c>
      <c r="N33" s="78">
        <f t="shared" si="3"/>
        <v>262.01944385226471</v>
      </c>
      <c r="O33" s="78">
        <f t="shared" si="3"/>
        <v>267.25983272930995</v>
      </c>
      <c r="P33" s="78">
        <f t="shared" si="3"/>
        <v>272.60502938389624</v>
      </c>
      <c r="Q33" s="78">
        <f t="shared" si="3"/>
        <v>278.05712997157406</v>
      </c>
      <c r="R33" s="78">
        <f t="shared" si="3"/>
        <v>283.6182725710056</v>
      </c>
      <c r="S33" s="78">
        <f t="shared" si="3"/>
        <v>289.2906380224257</v>
      </c>
      <c r="T33" s="78">
        <f t="shared" si="3"/>
        <v>295.07645078287425</v>
      </c>
      <c r="U33" s="78">
        <f t="shared" si="3"/>
        <v>300.97797979853163</v>
      </c>
      <c r="V33" s="78">
        <f t="shared" si="3"/>
        <v>0</v>
      </c>
    </row>
    <row r="34" spans="1:22" ht="15" customHeight="1" x14ac:dyDescent="0.2">
      <c r="A34" s="35" t="s">
        <v>595</v>
      </c>
      <c r="B34" s="84">
        <f t="shared" ref="B34:V34" si="4">B32+B33</f>
        <v>0</v>
      </c>
      <c r="C34" s="84">
        <f t="shared" si="4"/>
        <v>0</v>
      </c>
      <c r="D34" s="84">
        <f t="shared" si="4"/>
        <v>0</v>
      </c>
      <c r="E34" s="84">
        <f t="shared" si="4"/>
        <v>105.1263292684103</v>
      </c>
      <c r="F34" s="84">
        <f t="shared" si="4"/>
        <v>159.66270924725515</v>
      </c>
      <c r="G34" s="84">
        <f t="shared" si="4"/>
        <v>194.01046667854507</v>
      </c>
      <c r="H34" s="84">
        <f t="shared" si="4"/>
        <v>218.30442952446759</v>
      </c>
      <c r="I34" s="84">
        <f t="shared" si="4"/>
        <v>221.09641873707341</v>
      </c>
      <c r="J34" s="84">
        <f t="shared" si="4"/>
        <v>242.06546473292579</v>
      </c>
      <c r="K34" s="84">
        <f t="shared" si="4"/>
        <v>246.90677402758431</v>
      </c>
      <c r="L34" s="84">
        <f t="shared" si="4"/>
        <v>251.84490950813603</v>
      </c>
      <c r="M34" s="84">
        <f t="shared" si="4"/>
        <v>256.8818076982987</v>
      </c>
      <c r="N34" s="84">
        <f t="shared" si="4"/>
        <v>262.01944385226471</v>
      </c>
      <c r="O34" s="84">
        <f t="shared" si="4"/>
        <v>267.25983272930995</v>
      </c>
      <c r="P34" s="84">
        <f t="shared" si="4"/>
        <v>272.60502938389624</v>
      </c>
      <c r="Q34" s="84">
        <f t="shared" si="4"/>
        <v>278.05712997157406</v>
      </c>
      <c r="R34" s="84">
        <f t="shared" si="4"/>
        <v>283.6182725710056</v>
      </c>
      <c r="S34" s="84">
        <f t="shared" si="4"/>
        <v>289.2906380224257</v>
      </c>
      <c r="T34" s="84">
        <f t="shared" si="4"/>
        <v>295.07645078287425</v>
      </c>
      <c r="U34" s="84">
        <f t="shared" si="4"/>
        <v>300.97797979853163</v>
      </c>
      <c r="V34" s="84">
        <f t="shared" si="4"/>
        <v>0</v>
      </c>
    </row>
    <row r="35" spans="1:22" ht="15" customHeight="1" x14ac:dyDescent="0.2">
      <c r="A35" s="35" t="s">
        <v>596</v>
      </c>
      <c r="B35" s="85">
        <f t="shared" ref="B35:V35" si="5">B32-B19*B12/1000000</f>
        <v>0</v>
      </c>
      <c r="C35" s="85">
        <f t="shared" si="5"/>
        <v>0</v>
      </c>
      <c r="D35" s="85">
        <f t="shared" si="5"/>
        <v>0</v>
      </c>
      <c r="E35" s="85">
        <f t="shared" si="5"/>
        <v>-4.4967454337936275</v>
      </c>
      <c r="F35" s="85">
        <f t="shared" si="5"/>
        <v>-8.0605950471168768</v>
      </c>
      <c r="G35" s="85">
        <f t="shared" si="5"/>
        <v>-11.282857777766225</v>
      </c>
      <c r="H35" s="85">
        <f t="shared" si="5"/>
        <v>-14.361338192685238</v>
      </c>
      <c r="I35" s="85">
        <f t="shared" si="5"/>
        <v>-16.222664334422447</v>
      </c>
      <c r="J35" s="85">
        <f t="shared" si="5"/>
        <v>0</v>
      </c>
      <c r="K35" s="85">
        <f t="shared" si="5"/>
        <v>0</v>
      </c>
      <c r="L35" s="85">
        <f t="shared" si="5"/>
        <v>0</v>
      </c>
      <c r="M35" s="85">
        <f t="shared" si="5"/>
        <v>0</v>
      </c>
      <c r="N35" s="85">
        <f t="shared" si="5"/>
        <v>0</v>
      </c>
      <c r="O35" s="85">
        <f t="shared" si="5"/>
        <v>0</v>
      </c>
      <c r="P35" s="85">
        <f t="shared" si="5"/>
        <v>0</v>
      </c>
      <c r="Q35" s="85">
        <f t="shared" si="5"/>
        <v>0</v>
      </c>
      <c r="R35" s="85">
        <f t="shared" si="5"/>
        <v>0</v>
      </c>
      <c r="S35" s="85">
        <f t="shared" si="5"/>
        <v>0</v>
      </c>
      <c r="T35" s="85">
        <f t="shared" si="5"/>
        <v>0</v>
      </c>
      <c r="U35" s="85">
        <f t="shared" si="5"/>
        <v>0</v>
      </c>
      <c r="V35" s="85">
        <f t="shared" si="5"/>
        <v>0</v>
      </c>
    </row>
    <row r="37" spans="1:22" ht="15" customHeight="1" x14ac:dyDescent="0.2">
      <c r="A37" s="5" t="s">
        <v>597</v>
      </c>
      <c r="B37" s="78">
        <f>B21*Assumptions!B111/1000000</f>
        <v>0</v>
      </c>
      <c r="C37" s="78">
        <f>C21*Assumptions!B111/1000000</f>
        <v>0</v>
      </c>
      <c r="D37" s="78">
        <f>D21*Assumptions!B111/1000000</f>
        <v>0</v>
      </c>
      <c r="E37" s="78">
        <f>E21*Assumptions!B111/1000000</f>
        <v>13.650219428681661</v>
      </c>
      <c r="F37" s="78">
        <f>F21*Assumptions!B111/1000000</f>
        <v>20.475329143022485</v>
      </c>
      <c r="G37" s="78">
        <f>G21*Assumptions!B111/1000000</f>
        <v>24.570394971626985</v>
      </c>
      <c r="H37" s="78">
        <f>H21*Assumptions!B111/1000000</f>
        <v>27.300438857363321</v>
      </c>
      <c r="I37" s="78">
        <f>I21*Assumptions!B111/1000000</f>
        <v>27.300438857363321</v>
      </c>
      <c r="J37" s="78">
        <f>J21*Assumptions!B111/1000000</f>
        <v>0</v>
      </c>
      <c r="K37" s="78">
        <f>K21*Assumptions!B111/1000000</f>
        <v>0</v>
      </c>
      <c r="L37" s="78">
        <f>L21*Assumptions!B111/1000000</f>
        <v>0</v>
      </c>
      <c r="M37" s="78">
        <f>M21*Assumptions!B111/1000000</f>
        <v>0</v>
      </c>
      <c r="N37" s="78">
        <f>N21*Assumptions!B111/1000000</f>
        <v>0</v>
      </c>
      <c r="O37" s="78">
        <f>O21*Assumptions!B111/1000000</f>
        <v>0</v>
      </c>
      <c r="P37" s="78">
        <f>P21*Assumptions!B111/1000000</f>
        <v>0</v>
      </c>
      <c r="Q37" s="78">
        <f>Q21*Assumptions!B111/1000000</f>
        <v>0</v>
      </c>
      <c r="R37" s="78">
        <f>R21*Assumptions!B111/1000000</f>
        <v>0</v>
      </c>
      <c r="S37" s="78">
        <f>S21*Assumptions!B111/1000000</f>
        <v>0</v>
      </c>
      <c r="T37" s="78">
        <f>T21*Assumptions!B111/1000000</f>
        <v>0</v>
      </c>
      <c r="U37" s="78">
        <f>U21*Assumptions!B111/1000000</f>
        <v>0</v>
      </c>
      <c r="V37" s="78">
        <f>V21*Assumptions!B111/1000000</f>
        <v>0</v>
      </c>
    </row>
    <row r="38" spans="1:22" ht="15" customHeight="1" x14ac:dyDescent="0.2">
      <c r="A38" s="5" t="s">
        <v>598</v>
      </c>
      <c r="B38" s="78">
        <f t="shared" ref="B38:V38" si="6">B22*B13/1000000</f>
        <v>0</v>
      </c>
      <c r="C38" s="78">
        <f t="shared" si="6"/>
        <v>0</v>
      </c>
      <c r="D38" s="78">
        <f t="shared" si="6"/>
        <v>0</v>
      </c>
      <c r="E38" s="78">
        <f t="shared" si="6"/>
        <v>36.214305148681014</v>
      </c>
      <c r="F38" s="78">
        <f t="shared" si="6"/>
        <v>55.407886877481943</v>
      </c>
      <c r="G38" s="78">
        <f t="shared" si="6"/>
        <v>67.819253538037913</v>
      </c>
      <c r="H38" s="78">
        <f t="shared" si="6"/>
        <v>76.86182067644296</v>
      </c>
      <c r="I38" s="78">
        <f t="shared" si="6"/>
        <v>78.399057089971805</v>
      </c>
      <c r="J38" s="78">
        <f t="shared" si="6"/>
        <v>114.23862604538752</v>
      </c>
      <c r="K38" s="78">
        <f t="shared" si="6"/>
        <v>116.52339856629527</v>
      </c>
      <c r="L38" s="78">
        <f t="shared" si="6"/>
        <v>118.85386653762119</v>
      </c>
      <c r="M38" s="78">
        <f t="shared" si="6"/>
        <v>121.23094386837357</v>
      </c>
      <c r="N38" s="78">
        <f t="shared" si="6"/>
        <v>123.65556274574107</v>
      </c>
      <c r="O38" s="78">
        <f t="shared" si="6"/>
        <v>126.12867400065588</v>
      </c>
      <c r="P38" s="78">
        <f t="shared" si="6"/>
        <v>128.65124748066901</v>
      </c>
      <c r="Q38" s="78">
        <f t="shared" si="6"/>
        <v>131.22427243028235</v>
      </c>
      <c r="R38" s="78">
        <f t="shared" si="6"/>
        <v>133.84875787888802</v>
      </c>
      <c r="S38" s="78">
        <f t="shared" si="6"/>
        <v>136.52573303646579</v>
      </c>
      <c r="T38" s="78">
        <f t="shared" si="6"/>
        <v>139.25624769719511</v>
      </c>
      <c r="U38" s="78">
        <f t="shared" si="6"/>
        <v>142.041372651139</v>
      </c>
      <c r="V38" s="78">
        <f t="shared" si="6"/>
        <v>0</v>
      </c>
    </row>
    <row r="39" spans="1:22" ht="15" customHeight="1" x14ac:dyDescent="0.2">
      <c r="A39" s="35" t="s">
        <v>599</v>
      </c>
      <c r="B39" s="84">
        <f t="shared" ref="B39:V39" si="7">B37+B38</f>
        <v>0</v>
      </c>
      <c r="C39" s="84">
        <f t="shared" si="7"/>
        <v>0</v>
      </c>
      <c r="D39" s="84">
        <f t="shared" si="7"/>
        <v>0</v>
      </c>
      <c r="E39" s="84">
        <f t="shared" si="7"/>
        <v>49.864524577362673</v>
      </c>
      <c r="F39" s="84">
        <f t="shared" si="7"/>
        <v>75.88321602050442</v>
      </c>
      <c r="G39" s="84">
        <f t="shared" si="7"/>
        <v>92.389648509664895</v>
      </c>
      <c r="H39" s="84">
        <f t="shared" si="7"/>
        <v>104.16225953380628</v>
      </c>
      <c r="I39" s="84">
        <f t="shared" si="7"/>
        <v>105.69949594733512</v>
      </c>
      <c r="J39" s="84">
        <f t="shared" si="7"/>
        <v>114.23862604538752</v>
      </c>
      <c r="K39" s="84">
        <f t="shared" si="7"/>
        <v>116.52339856629527</v>
      </c>
      <c r="L39" s="84">
        <f t="shared" si="7"/>
        <v>118.85386653762119</v>
      </c>
      <c r="M39" s="84">
        <f t="shared" si="7"/>
        <v>121.23094386837357</v>
      </c>
      <c r="N39" s="84">
        <f t="shared" si="7"/>
        <v>123.65556274574107</v>
      </c>
      <c r="O39" s="84">
        <f t="shared" si="7"/>
        <v>126.12867400065588</v>
      </c>
      <c r="P39" s="84">
        <f t="shared" si="7"/>
        <v>128.65124748066901</v>
      </c>
      <c r="Q39" s="84">
        <f t="shared" si="7"/>
        <v>131.22427243028235</v>
      </c>
      <c r="R39" s="84">
        <f t="shared" si="7"/>
        <v>133.84875787888802</v>
      </c>
      <c r="S39" s="84">
        <f t="shared" si="7"/>
        <v>136.52573303646579</v>
      </c>
      <c r="T39" s="84">
        <f t="shared" si="7"/>
        <v>139.25624769719511</v>
      </c>
      <c r="U39" s="84">
        <f t="shared" si="7"/>
        <v>142.041372651139</v>
      </c>
      <c r="V39" s="84">
        <f t="shared" si="7"/>
        <v>0</v>
      </c>
    </row>
    <row r="40" spans="1:22" ht="15" customHeight="1" x14ac:dyDescent="0.2">
      <c r="A40" s="35" t="s">
        <v>600</v>
      </c>
      <c r="B40" s="85">
        <f t="shared" ref="B40:V40" si="8">B37-B21*B13/1000000</f>
        <v>0</v>
      </c>
      <c r="C40" s="85">
        <f t="shared" si="8"/>
        <v>0</v>
      </c>
      <c r="D40" s="85">
        <f t="shared" si="8"/>
        <v>0</v>
      </c>
      <c r="E40" s="85">
        <f t="shared" si="8"/>
        <v>-1.8701970636102025</v>
      </c>
      <c r="F40" s="85">
        <f t="shared" si="8"/>
        <v>-3.2709080901840579</v>
      </c>
      <c r="G40" s="85">
        <f t="shared" si="8"/>
        <v>-4.4949994018178323</v>
      </c>
      <c r="H40" s="85">
        <f t="shared" si="8"/>
        <v>-5.6403414325408114</v>
      </c>
      <c r="I40" s="85">
        <f t="shared" si="8"/>
        <v>-6.2991570383388868</v>
      </c>
      <c r="J40" s="85">
        <f t="shared" si="8"/>
        <v>0</v>
      </c>
      <c r="K40" s="85">
        <f t="shared" si="8"/>
        <v>0</v>
      </c>
      <c r="L40" s="85">
        <f t="shared" si="8"/>
        <v>0</v>
      </c>
      <c r="M40" s="85">
        <f t="shared" si="8"/>
        <v>0</v>
      </c>
      <c r="N40" s="85">
        <f t="shared" si="8"/>
        <v>0</v>
      </c>
      <c r="O40" s="85">
        <f t="shared" si="8"/>
        <v>0</v>
      </c>
      <c r="P40" s="85">
        <f t="shared" si="8"/>
        <v>0</v>
      </c>
      <c r="Q40" s="85">
        <f t="shared" si="8"/>
        <v>0</v>
      </c>
      <c r="R40" s="85">
        <f t="shared" si="8"/>
        <v>0</v>
      </c>
      <c r="S40" s="85">
        <f t="shared" si="8"/>
        <v>0</v>
      </c>
      <c r="T40" s="85">
        <f t="shared" si="8"/>
        <v>0</v>
      </c>
      <c r="U40" s="85">
        <f t="shared" si="8"/>
        <v>0</v>
      </c>
      <c r="V40" s="85">
        <f t="shared" si="8"/>
        <v>0</v>
      </c>
    </row>
    <row r="42" spans="1:22" ht="15" customHeight="1" x14ac:dyDescent="0.2">
      <c r="A42" s="5" t="s">
        <v>601</v>
      </c>
      <c r="B42" s="78">
        <f>B23*Assumptions!B115/1000000</f>
        <v>0</v>
      </c>
      <c r="C42" s="78">
        <f>C23*Assumptions!B115/1000000</f>
        <v>0</v>
      </c>
      <c r="D42" s="78">
        <f>D23*Assumptions!B115/1000000</f>
        <v>0</v>
      </c>
      <c r="E42" s="78">
        <f>E23*Assumptions!B115/1000000</f>
        <v>0</v>
      </c>
      <c r="F42" s="78">
        <f>F23*Assumptions!B115/1000000</f>
        <v>0</v>
      </c>
      <c r="G42" s="78">
        <f>G23*Assumptions!B115/1000000</f>
        <v>0</v>
      </c>
      <c r="H42" s="78">
        <f>H23*Assumptions!B115/1000000</f>
        <v>0</v>
      </c>
      <c r="I42" s="78">
        <f>I23*Assumptions!B115/1000000</f>
        <v>0</v>
      </c>
      <c r="J42" s="78">
        <f>J23*Assumptions!B115/1000000</f>
        <v>0</v>
      </c>
      <c r="K42" s="78">
        <f>K23*Assumptions!B115/1000000</f>
        <v>0</v>
      </c>
      <c r="L42" s="78">
        <f>L23*Assumptions!B115/1000000</f>
        <v>0</v>
      </c>
      <c r="M42" s="78">
        <f>M23*Assumptions!B115/1000000</f>
        <v>0</v>
      </c>
      <c r="N42" s="78">
        <f>N23*Assumptions!B115/1000000</f>
        <v>0</v>
      </c>
      <c r="O42" s="78">
        <f>O23*Assumptions!B115/1000000</f>
        <v>0</v>
      </c>
      <c r="P42" s="78">
        <f>P23*Assumptions!B115/1000000</f>
        <v>0</v>
      </c>
      <c r="Q42" s="78">
        <f>Q23*Assumptions!B115/1000000</f>
        <v>0</v>
      </c>
      <c r="R42" s="78">
        <f>R23*Assumptions!B115/1000000</f>
        <v>0</v>
      </c>
      <c r="S42" s="78">
        <f>S23*Assumptions!B115/1000000</f>
        <v>0</v>
      </c>
      <c r="T42" s="78">
        <f>T23*Assumptions!B115/1000000</f>
        <v>0</v>
      </c>
      <c r="U42" s="78">
        <f>U23*Assumptions!B115/1000000</f>
        <v>0</v>
      </c>
      <c r="V42" s="78">
        <f>V23*Assumptions!B115/1000000</f>
        <v>0</v>
      </c>
    </row>
    <row r="43" spans="1:22" ht="15" customHeight="1" x14ac:dyDescent="0.2">
      <c r="A43" s="5" t="s">
        <v>602</v>
      </c>
      <c r="B43" s="78">
        <f t="shared" ref="B43:V43" si="9">B24*B14/1000000</f>
        <v>0</v>
      </c>
      <c r="C43" s="78">
        <f t="shared" si="9"/>
        <v>0</v>
      </c>
      <c r="D43" s="78">
        <f t="shared" si="9"/>
        <v>0</v>
      </c>
      <c r="E43" s="78">
        <f t="shared" si="9"/>
        <v>9.3409914073978815</v>
      </c>
      <c r="F43" s="78">
        <f t="shared" si="9"/>
        <v>14.291716853318757</v>
      </c>
      <c r="G43" s="78">
        <f t="shared" si="9"/>
        <v>17.493061428462163</v>
      </c>
      <c r="H43" s="78">
        <f t="shared" si="9"/>
        <v>19.825469618923787</v>
      </c>
      <c r="I43" s="78">
        <f t="shared" si="9"/>
        <v>20.221979011302256</v>
      </c>
      <c r="J43" s="78">
        <f t="shared" si="9"/>
        <v>20.626418591528303</v>
      </c>
      <c r="K43" s="78">
        <f t="shared" si="9"/>
        <v>21.038946963358867</v>
      </c>
      <c r="L43" s="78">
        <f t="shared" si="9"/>
        <v>21.459725902626047</v>
      </c>
      <c r="M43" s="78">
        <f t="shared" si="9"/>
        <v>21.888920420678563</v>
      </c>
      <c r="N43" s="78">
        <f t="shared" si="9"/>
        <v>22.326698829092138</v>
      </c>
      <c r="O43" s="78">
        <f t="shared" si="9"/>
        <v>22.773232805673977</v>
      </c>
      <c r="P43" s="78">
        <f t="shared" si="9"/>
        <v>23.228697461787462</v>
      </c>
      <c r="Q43" s="78">
        <f t="shared" si="9"/>
        <v>23.693271411023204</v>
      </c>
      <c r="R43" s="78">
        <f t="shared" si="9"/>
        <v>24.167136839243671</v>
      </c>
      <c r="S43" s="78">
        <f t="shared" si="9"/>
        <v>24.650479576028548</v>
      </c>
      <c r="T43" s="78">
        <f t="shared" si="9"/>
        <v>25.14348916754912</v>
      </c>
      <c r="U43" s="78">
        <f t="shared" si="9"/>
        <v>25.646358950900101</v>
      </c>
      <c r="V43" s="78">
        <f t="shared" si="9"/>
        <v>0</v>
      </c>
    </row>
    <row r="44" spans="1:22" ht="15" customHeight="1" x14ac:dyDescent="0.2">
      <c r="A44" s="35" t="s">
        <v>603</v>
      </c>
      <c r="B44" s="84">
        <f t="shared" ref="B44:V44" si="10">B42+B43</f>
        <v>0</v>
      </c>
      <c r="C44" s="84">
        <f t="shared" si="10"/>
        <v>0</v>
      </c>
      <c r="D44" s="84">
        <f t="shared" si="10"/>
        <v>0</v>
      </c>
      <c r="E44" s="84">
        <f t="shared" si="10"/>
        <v>9.3409914073978815</v>
      </c>
      <c r="F44" s="84">
        <f t="shared" si="10"/>
        <v>14.291716853318757</v>
      </c>
      <c r="G44" s="84">
        <f t="shared" si="10"/>
        <v>17.493061428462163</v>
      </c>
      <c r="H44" s="84">
        <f t="shared" si="10"/>
        <v>19.825469618923787</v>
      </c>
      <c r="I44" s="84">
        <f t="shared" si="10"/>
        <v>20.221979011302256</v>
      </c>
      <c r="J44" s="84">
        <f t="shared" si="10"/>
        <v>20.626418591528303</v>
      </c>
      <c r="K44" s="84">
        <f t="shared" si="10"/>
        <v>21.038946963358867</v>
      </c>
      <c r="L44" s="84">
        <f t="shared" si="10"/>
        <v>21.459725902626047</v>
      </c>
      <c r="M44" s="84">
        <f t="shared" si="10"/>
        <v>21.888920420678563</v>
      </c>
      <c r="N44" s="84">
        <f t="shared" si="10"/>
        <v>22.326698829092138</v>
      </c>
      <c r="O44" s="84">
        <f t="shared" si="10"/>
        <v>22.773232805673977</v>
      </c>
      <c r="P44" s="84">
        <f t="shared" si="10"/>
        <v>23.228697461787462</v>
      </c>
      <c r="Q44" s="84">
        <f t="shared" si="10"/>
        <v>23.693271411023204</v>
      </c>
      <c r="R44" s="84">
        <f t="shared" si="10"/>
        <v>24.167136839243671</v>
      </c>
      <c r="S44" s="84">
        <f t="shared" si="10"/>
        <v>24.650479576028548</v>
      </c>
      <c r="T44" s="84">
        <f t="shared" si="10"/>
        <v>25.14348916754912</v>
      </c>
      <c r="U44" s="84">
        <f t="shared" si="10"/>
        <v>25.646358950900101</v>
      </c>
      <c r="V44" s="84">
        <f t="shared" si="10"/>
        <v>0</v>
      </c>
    </row>
    <row r="45" spans="1:22" ht="15" customHeight="1" x14ac:dyDescent="0.2">
      <c r="A45" s="35" t="s">
        <v>604</v>
      </c>
      <c r="B45" s="85">
        <f t="shared" ref="B45:V45" si="11">B42-B23*B14/1000000</f>
        <v>0</v>
      </c>
      <c r="C45" s="85">
        <f t="shared" si="11"/>
        <v>0</v>
      </c>
      <c r="D45" s="85">
        <f t="shared" si="11"/>
        <v>0</v>
      </c>
      <c r="E45" s="85">
        <f t="shared" si="11"/>
        <v>0</v>
      </c>
      <c r="F45" s="85">
        <f t="shared" si="11"/>
        <v>0</v>
      </c>
      <c r="G45" s="85">
        <f t="shared" si="11"/>
        <v>0</v>
      </c>
      <c r="H45" s="85">
        <f t="shared" si="11"/>
        <v>0</v>
      </c>
      <c r="I45" s="85">
        <f t="shared" si="11"/>
        <v>0</v>
      </c>
      <c r="J45" s="85">
        <f t="shared" si="11"/>
        <v>0</v>
      </c>
      <c r="K45" s="85">
        <f t="shared" si="11"/>
        <v>0</v>
      </c>
      <c r="L45" s="85">
        <f t="shared" si="11"/>
        <v>0</v>
      </c>
      <c r="M45" s="85">
        <f t="shared" si="11"/>
        <v>0</v>
      </c>
      <c r="N45" s="85">
        <f t="shared" si="11"/>
        <v>0</v>
      </c>
      <c r="O45" s="85">
        <f t="shared" si="11"/>
        <v>0</v>
      </c>
      <c r="P45" s="85">
        <f t="shared" si="11"/>
        <v>0</v>
      </c>
      <c r="Q45" s="85">
        <f t="shared" si="11"/>
        <v>0</v>
      </c>
      <c r="R45" s="85">
        <f t="shared" si="11"/>
        <v>0</v>
      </c>
      <c r="S45" s="85">
        <f t="shared" si="11"/>
        <v>0</v>
      </c>
      <c r="T45" s="85">
        <f t="shared" si="11"/>
        <v>0</v>
      </c>
      <c r="U45" s="85">
        <f t="shared" si="11"/>
        <v>0</v>
      </c>
      <c r="V45" s="85">
        <f t="shared" si="11"/>
        <v>0</v>
      </c>
    </row>
    <row r="47" spans="1:22" ht="15" customHeight="1" x14ac:dyDescent="0.2">
      <c r="A47" s="3" t="s">
        <v>605</v>
      </c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</row>
    <row r="48" spans="1:22" ht="15" customHeight="1" x14ac:dyDescent="0.2">
      <c r="A48" s="35" t="s">
        <v>606</v>
      </c>
      <c r="B48" s="86">
        <f t="shared" ref="B48:V48" si="12">B27+B32+B37+B42</f>
        <v>0</v>
      </c>
      <c r="C48" s="86">
        <f t="shared" si="12"/>
        <v>0</v>
      </c>
      <c r="D48" s="86">
        <f t="shared" si="12"/>
        <v>0</v>
      </c>
      <c r="E48" s="86">
        <f t="shared" si="12"/>
        <v>127.11500634976771</v>
      </c>
      <c r="F48" s="86">
        <f t="shared" si="12"/>
        <v>190.67250952465156</v>
      </c>
      <c r="G48" s="86">
        <f t="shared" si="12"/>
        <v>228.80701142958188</v>
      </c>
      <c r="H48" s="86">
        <f t="shared" si="12"/>
        <v>254.23001269953542</v>
      </c>
      <c r="I48" s="86">
        <f t="shared" si="12"/>
        <v>254.23001269953542</v>
      </c>
      <c r="J48" s="86">
        <f t="shared" si="12"/>
        <v>0</v>
      </c>
      <c r="K48" s="86">
        <f t="shared" si="12"/>
        <v>0</v>
      </c>
      <c r="L48" s="86">
        <f t="shared" si="12"/>
        <v>0</v>
      </c>
      <c r="M48" s="86">
        <f t="shared" si="12"/>
        <v>0</v>
      </c>
      <c r="N48" s="86">
        <f t="shared" si="12"/>
        <v>0</v>
      </c>
      <c r="O48" s="86">
        <f t="shared" si="12"/>
        <v>0</v>
      </c>
      <c r="P48" s="86">
        <f t="shared" si="12"/>
        <v>0</v>
      </c>
      <c r="Q48" s="86">
        <f t="shared" si="12"/>
        <v>0</v>
      </c>
      <c r="R48" s="86">
        <f t="shared" si="12"/>
        <v>0</v>
      </c>
      <c r="S48" s="86">
        <f t="shared" si="12"/>
        <v>0</v>
      </c>
      <c r="T48" s="86">
        <f t="shared" si="12"/>
        <v>0</v>
      </c>
      <c r="U48" s="86">
        <f t="shared" si="12"/>
        <v>0</v>
      </c>
      <c r="V48" s="86">
        <f t="shared" si="12"/>
        <v>0</v>
      </c>
    </row>
    <row r="49" spans="1:22" ht="15" customHeight="1" x14ac:dyDescent="0.2">
      <c r="A49" s="35" t="s">
        <v>607</v>
      </c>
      <c r="B49" s="86">
        <f t="shared" ref="B49:V49" si="13">B28+B33+B38+B43</f>
        <v>0</v>
      </c>
      <c r="C49" s="86">
        <f t="shared" si="13"/>
        <v>0</v>
      </c>
      <c r="D49" s="86">
        <f t="shared" si="13"/>
        <v>0</v>
      </c>
      <c r="E49" s="86">
        <f t="shared" si="13"/>
        <v>192.54233688787434</v>
      </c>
      <c r="F49" s="86">
        <f t="shared" si="13"/>
        <v>294.5897754384477</v>
      </c>
      <c r="G49" s="86">
        <f t="shared" si="13"/>
        <v>360.57788513666009</v>
      </c>
      <c r="H49" s="86">
        <f t="shared" si="13"/>
        <v>408.65493648821467</v>
      </c>
      <c r="I49" s="86">
        <f t="shared" si="13"/>
        <v>416.82803521797894</v>
      </c>
      <c r="J49" s="86">
        <f t="shared" si="13"/>
        <v>735.59422988840856</v>
      </c>
      <c r="K49" s="86">
        <f t="shared" si="13"/>
        <v>750.30611448617685</v>
      </c>
      <c r="L49" s="86">
        <f t="shared" si="13"/>
        <v>765.31223677590037</v>
      </c>
      <c r="M49" s="86">
        <f t="shared" si="13"/>
        <v>780.61848151141828</v>
      </c>
      <c r="N49" s="86">
        <f t="shared" si="13"/>
        <v>796.23085114164667</v>
      </c>
      <c r="O49" s="86">
        <f t="shared" si="13"/>
        <v>812.15546816447954</v>
      </c>
      <c r="P49" s="86">
        <f t="shared" si="13"/>
        <v>828.39857752776925</v>
      </c>
      <c r="Q49" s="86">
        <f t="shared" si="13"/>
        <v>844.96654907832453</v>
      </c>
      <c r="R49" s="86">
        <f t="shared" si="13"/>
        <v>861.86588005989108</v>
      </c>
      <c r="S49" s="86">
        <f t="shared" si="13"/>
        <v>879.10319766108898</v>
      </c>
      <c r="T49" s="86">
        <f t="shared" si="13"/>
        <v>896.68526161431078</v>
      </c>
      <c r="U49" s="86">
        <f t="shared" si="13"/>
        <v>914.61896684659678</v>
      </c>
      <c r="V49" s="86">
        <f t="shared" si="13"/>
        <v>0</v>
      </c>
    </row>
    <row r="50" spans="1:22" ht="15" customHeight="1" x14ac:dyDescent="0.2">
      <c r="A50" s="35" t="s">
        <v>608</v>
      </c>
      <c r="B50" s="87">
        <f t="shared" ref="B50:V50" si="14">B29+B34+B39+B44</f>
        <v>0</v>
      </c>
      <c r="C50" s="87">
        <f t="shared" si="14"/>
        <v>0</v>
      </c>
      <c r="D50" s="87">
        <f t="shared" si="14"/>
        <v>0</v>
      </c>
      <c r="E50" s="87">
        <f t="shared" si="14"/>
        <v>319.65734323764201</v>
      </c>
      <c r="F50" s="87">
        <f t="shared" si="14"/>
        <v>485.26228496309926</v>
      </c>
      <c r="G50" s="87">
        <f t="shared" si="14"/>
        <v>589.38489656624188</v>
      </c>
      <c r="H50" s="87">
        <f t="shared" si="14"/>
        <v>662.88494918775018</v>
      </c>
      <c r="I50" s="87">
        <f t="shared" si="14"/>
        <v>671.05804791751427</v>
      </c>
      <c r="J50" s="87">
        <f t="shared" si="14"/>
        <v>735.59422988840856</v>
      </c>
      <c r="K50" s="87">
        <f t="shared" si="14"/>
        <v>750.30611448617685</v>
      </c>
      <c r="L50" s="87">
        <f t="shared" si="14"/>
        <v>765.31223677590037</v>
      </c>
      <c r="M50" s="87">
        <f t="shared" si="14"/>
        <v>780.61848151141828</v>
      </c>
      <c r="N50" s="87">
        <f t="shared" si="14"/>
        <v>796.23085114164667</v>
      </c>
      <c r="O50" s="87">
        <f t="shared" si="14"/>
        <v>812.15546816447954</v>
      </c>
      <c r="P50" s="87">
        <f t="shared" si="14"/>
        <v>828.39857752776925</v>
      </c>
      <c r="Q50" s="87">
        <f t="shared" si="14"/>
        <v>844.96654907832453</v>
      </c>
      <c r="R50" s="87">
        <f t="shared" si="14"/>
        <v>861.86588005989108</v>
      </c>
      <c r="S50" s="87">
        <f t="shared" si="14"/>
        <v>879.10319766108898</v>
      </c>
      <c r="T50" s="87">
        <f t="shared" si="14"/>
        <v>896.68526161431078</v>
      </c>
      <c r="U50" s="87">
        <f t="shared" si="14"/>
        <v>914.61896684659678</v>
      </c>
      <c r="V50" s="87">
        <f t="shared" si="14"/>
        <v>0</v>
      </c>
    </row>
    <row r="51" spans="1:22" ht="15" customHeight="1" x14ac:dyDescent="0.2">
      <c r="A51" s="88" t="s">
        <v>609</v>
      </c>
      <c r="B51" s="89">
        <f t="shared" ref="B51:V51" si="15">B30+B35+B40+B45</f>
        <v>0</v>
      </c>
      <c r="C51" s="89">
        <f t="shared" si="15"/>
        <v>0</v>
      </c>
      <c r="D51" s="89">
        <f t="shared" si="15"/>
        <v>0</v>
      </c>
      <c r="E51" s="89">
        <f t="shared" si="15"/>
        <v>-13.467835533878816</v>
      </c>
      <c r="F51" s="89">
        <f t="shared" si="15"/>
        <v>-24.41923855732761</v>
      </c>
      <c r="G51" s="89">
        <f t="shared" si="15"/>
        <v>-34.465288222760677</v>
      </c>
      <c r="H51" s="89">
        <f t="shared" si="15"/>
        <v>-44.145260239786126</v>
      </c>
      <c r="I51" s="89">
        <f t="shared" si="15"/>
        <v>-50.112765698572503</v>
      </c>
      <c r="J51" s="89">
        <f t="shared" si="15"/>
        <v>0</v>
      </c>
      <c r="K51" s="89">
        <f t="shared" si="15"/>
        <v>0</v>
      </c>
      <c r="L51" s="89">
        <f t="shared" si="15"/>
        <v>0</v>
      </c>
      <c r="M51" s="89">
        <f t="shared" si="15"/>
        <v>0</v>
      </c>
      <c r="N51" s="89">
        <f t="shared" si="15"/>
        <v>0</v>
      </c>
      <c r="O51" s="89">
        <f t="shared" si="15"/>
        <v>0</v>
      </c>
      <c r="P51" s="89">
        <f t="shared" si="15"/>
        <v>0</v>
      </c>
      <c r="Q51" s="89">
        <f t="shared" si="15"/>
        <v>0</v>
      </c>
      <c r="R51" s="89">
        <f t="shared" si="15"/>
        <v>0</v>
      </c>
      <c r="S51" s="89">
        <f t="shared" si="15"/>
        <v>0</v>
      </c>
      <c r="T51" s="89">
        <f t="shared" si="15"/>
        <v>0</v>
      </c>
      <c r="U51" s="89">
        <f t="shared" si="15"/>
        <v>0</v>
      </c>
      <c r="V51" s="89">
        <f t="shared" si="15"/>
        <v>0</v>
      </c>
    </row>
    <row r="52" spans="1:22" ht="15" customHeight="1" x14ac:dyDescent="0.2">
      <c r="A52" s="88" t="s">
        <v>610</v>
      </c>
      <c r="B52" s="85">
        <f>B51</f>
        <v>0</v>
      </c>
      <c r="C52" s="85">
        <f t="shared" ref="C52:V52" si="16">B52+C51</f>
        <v>0</v>
      </c>
      <c r="D52" s="85">
        <f t="shared" si="16"/>
        <v>0</v>
      </c>
      <c r="E52" s="85">
        <f t="shared" si="16"/>
        <v>-13.467835533878816</v>
      </c>
      <c r="F52" s="85">
        <f t="shared" si="16"/>
        <v>-37.887074091206429</v>
      </c>
      <c r="G52" s="85">
        <f t="shared" si="16"/>
        <v>-72.352362313967106</v>
      </c>
      <c r="H52" s="85">
        <f t="shared" si="16"/>
        <v>-116.49762255375323</v>
      </c>
      <c r="I52" s="85">
        <f t="shared" si="16"/>
        <v>-166.61038825232572</v>
      </c>
      <c r="J52" s="85">
        <f t="shared" si="16"/>
        <v>-166.61038825232572</v>
      </c>
      <c r="K52" s="85">
        <f t="shared" si="16"/>
        <v>-166.61038825232572</v>
      </c>
      <c r="L52" s="85">
        <f t="shared" si="16"/>
        <v>-166.61038825232572</v>
      </c>
      <c r="M52" s="85">
        <f t="shared" si="16"/>
        <v>-166.61038825232572</v>
      </c>
      <c r="N52" s="85">
        <f t="shared" si="16"/>
        <v>-166.61038825232572</v>
      </c>
      <c r="O52" s="85">
        <f t="shared" si="16"/>
        <v>-166.61038825232572</v>
      </c>
      <c r="P52" s="85">
        <f t="shared" si="16"/>
        <v>-166.61038825232572</v>
      </c>
      <c r="Q52" s="85">
        <f t="shared" si="16"/>
        <v>-166.61038825232572</v>
      </c>
      <c r="R52" s="85">
        <f t="shared" si="16"/>
        <v>-166.61038825232572</v>
      </c>
      <c r="S52" s="85">
        <f t="shared" si="16"/>
        <v>-166.61038825232572</v>
      </c>
      <c r="T52" s="85">
        <f t="shared" si="16"/>
        <v>-166.61038825232572</v>
      </c>
      <c r="U52" s="85">
        <f t="shared" si="16"/>
        <v>-166.61038825232572</v>
      </c>
      <c r="V52" s="85">
        <f t="shared" si="16"/>
        <v>-166.61038825232572</v>
      </c>
    </row>
    <row r="54" spans="1:22" ht="15" customHeight="1" x14ac:dyDescent="0.2">
      <c r="A54" s="25" t="s">
        <v>611</v>
      </c>
      <c r="B54" s="26"/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</row>
    <row r="55" spans="1:22" ht="15" customHeight="1" x14ac:dyDescent="0.2">
      <c r="A55" s="5" t="s">
        <v>612</v>
      </c>
      <c r="B55" s="78">
        <f>IF(Assumptions!B103="Put Option",B8*(B17*B11+B19*B12+B21*B13+B23*B14)*Assumptions!B124/1000000,0)</f>
        <v>0</v>
      </c>
      <c r="C55" s="78">
        <f>IF(Assumptions!B103="Put Option",C8*(C17*C11+C19*C12+C21*C13+C23*C14)*Assumptions!B124/1000000,0)</f>
        <v>0</v>
      </c>
      <c r="D55" s="78">
        <f>IF(Assumptions!B103="Put Option",D8*(D17*D11+D19*D12+D21*D13+D23*D14)*Assumptions!B124/1000000,0)</f>
        <v>0</v>
      </c>
      <c r="E55" s="78">
        <f>IF(Assumptions!B103="Put Option",E8*(E17*E11+E19*E12+E21*E13+E23*E14)*Assumptions!B124/1000000,0)</f>
        <v>0</v>
      </c>
      <c r="F55" s="78">
        <f>IF(Assumptions!B103="Put Option",F8*(F17*F11+F19*F12+F21*F13+F23*F14)*Assumptions!B124/1000000,0)</f>
        <v>0</v>
      </c>
      <c r="G55" s="78">
        <f>IF(Assumptions!B103="Put Option",G8*(G17*G11+G19*G12+G21*G13+G23*G14)*Assumptions!B124/1000000,0)</f>
        <v>0</v>
      </c>
      <c r="H55" s="78">
        <f>IF(Assumptions!B103="Put Option",H8*(H17*H11+H19*H12+H21*H13+H23*H14)*Assumptions!B124/1000000,0)</f>
        <v>0</v>
      </c>
      <c r="I55" s="78">
        <f>IF(Assumptions!B103="Put Option",I8*(I17*I11+I19*I12+I21*I13+I23*I14)*Assumptions!B124/1000000,0)</f>
        <v>0</v>
      </c>
      <c r="J55" s="78">
        <f>IF(Assumptions!B103="Put Option",J8*(J17*J11+J19*J12+J21*J13+J23*J14)*Assumptions!B124/1000000,0)</f>
        <v>0</v>
      </c>
      <c r="K55" s="78">
        <f>IF(Assumptions!B103="Put Option",K8*(K17*K11+K19*K12+K21*K13+K23*K14)*Assumptions!B124/1000000,0)</f>
        <v>0</v>
      </c>
      <c r="L55" s="78">
        <f>IF(Assumptions!B103="Put Option",L8*(L17*L11+L19*L12+L21*L13+L23*L14)*Assumptions!B124/1000000,0)</f>
        <v>0</v>
      </c>
      <c r="M55" s="78">
        <f>IF(Assumptions!B103="Put Option",M8*(M17*M11+M19*M12+M21*M13+M23*M14)*Assumptions!B124/1000000,0)</f>
        <v>0</v>
      </c>
      <c r="N55" s="78">
        <f>IF(Assumptions!B103="Put Option",N8*(N17*N11+N19*N12+N21*N13+N23*N14)*Assumptions!B124/1000000,0)</f>
        <v>0</v>
      </c>
      <c r="O55" s="78">
        <f>IF(Assumptions!B103="Put Option",O8*(O17*O11+O19*O12+O21*O13+O23*O14)*Assumptions!B124/1000000,0)</f>
        <v>0</v>
      </c>
      <c r="P55" s="78">
        <f>IF(Assumptions!B103="Put Option",P8*(P17*P11+P19*P12+P21*P13+P23*P14)*Assumptions!B124/1000000,0)</f>
        <v>0</v>
      </c>
      <c r="Q55" s="78">
        <f>IF(Assumptions!B103="Put Option",Q8*(Q17*Q11+Q19*Q12+Q21*Q13+Q23*Q14)*Assumptions!B124/1000000,0)</f>
        <v>0</v>
      </c>
      <c r="R55" s="78">
        <f>IF(Assumptions!B103="Put Option",R8*(R17*R11+R19*R12+R21*R13+R23*R14)*Assumptions!B124/1000000,0)</f>
        <v>0</v>
      </c>
      <c r="S55" s="78">
        <f>IF(Assumptions!B103="Put Option",S8*(S17*S11+S19*S12+S21*S13+S23*S14)*Assumptions!B124/1000000,0)</f>
        <v>0</v>
      </c>
      <c r="T55" s="78">
        <f>IF(Assumptions!B103="Put Option",T8*(T17*T11+T19*T12+T21*T13+T23*T14)*Assumptions!B124/1000000,0)</f>
        <v>0</v>
      </c>
      <c r="U55" s="78">
        <f>IF(Assumptions!B103="Put Option",U8*(U17*U11+U19*U12+U21*U13+U23*U14)*Assumptions!B124/1000000,0)</f>
        <v>0</v>
      </c>
      <c r="V55" s="78">
        <f>IF(Assumptions!B103="Put Option",V8*(V17*V11+V19*V12+V21*V13+V23*V14)*Assumptions!B124/1000000,0)</f>
        <v>0</v>
      </c>
    </row>
    <row r="57" spans="1:22" ht="15" customHeight="1" x14ac:dyDescent="0.2">
      <c r="A57" s="19" t="s">
        <v>613</v>
      </c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</row>
    <row r="58" spans="1:22" ht="15" customHeight="1" x14ac:dyDescent="0.2">
      <c r="A58" s="5" t="s">
        <v>614</v>
      </c>
      <c r="B58" s="90">
        <f>'Resource Depletion'!B37*B11/1000000+'Resource Depletion'!B38*B12/1000000+'Resource Depletion'!B39*B13/1000000+'Resource Depletion'!B40*B14/1000000</f>
        <v>0</v>
      </c>
      <c r="C58" s="90">
        <f>'Resource Depletion'!C37*C11/1000000+'Resource Depletion'!C38*C12/1000000+'Resource Depletion'!C39*C13/1000000+'Resource Depletion'!C40*C14/1000000</f>
        <v>0</v>
      </c>
      <c r="D58" s="90">
        <f>'Resource Depletion'!D37*D11/1000000+'Resource Depletion'!D38*D12/1000000+'Resource Depletion'!D39*D13/1000000+'Resource Depletion'!D40*D14/1000000</f>
        <v>0</v>
      </c>
      <c r="E58" s="90">
        <f>'Resource Depletion'!E37*E11/1000000+'Resource Depletion'!E38*E12/1000000+'Resource Depletion'!E39*E13/1000000+'Resource Depletion'!E40*E14/1000000</f>
        <v>333.12517877152089</v>
      </c>
      <c r="F58" s="90">
        <f>'Resource Depletion'!F37*F11/1000000+'Resource Depletion'!F38*F12/1000000+'Resource Depletion'!F39*F13/1000000+'Resource Depletion'!F40*F14/1000000</f>
        <v>509.68152352042688</v>
      </c>
      <c r="G58" s="90">
        <f>'Resource Depletion'!G37*G11/1000000+'Resource Depletion'!G38*G12/1000000+'Resource Depletion'!G39*G13/1000000+'Resource Depletion'!G40*G14/1000000</f>
        <v>623.85018478900258</v>
      </c>
      <c r="H58" s="90">
        <f>'Resource Depletion'!H37*H11/1000000+'Resource Depletion'!H38*H12/1000000+'Resource Depletion'!H39*H13/1000000+'Resource Depletion'!H40*H14/1000000</f>
        <v>707.03020942753631</v>
      </c>
      <c r="I58" s="90">
        <f>'Resource Depletion'!I37*I11/1000000+'Resource Depletion'!I38*I12/1000000+'Resource Depletion'!I39*I13/1000000+'Resource Depletion'!I40*I14/1000000</f>
        <v>721.17081361608678</v>
      </c>
      <c r="J58" s="90">
        <f>'Resource Depletion'!J37*J11/1000000+'Resource Depletion'!J38*J12/1000000+'Resource Depletion'!J39*J13/1000000+'Resource Depletion'!J40*J14/1000000</f>
        <v>735.59422988840856</v>
      </c>
      <c r="K58" s="90">
        <f>'Resource Depletion'!K37*K11/1000000+'Resource Depletion'!K38*K12/1000000+'Resource Depletion'!K39*K13/1000000+'Resource Depletion'!K40*K14/1000000</f>
        <v>750.30611448617685</v>
      </c>
      <c r="L58" s="90">
        <f>'Resource Depletion'!L37*L11/1000000+'Resource Depletion'!L38*L12/1000000+'Resource Depletion'!L39*L13/1000000+'Resource Depletion'!L40*L14/1000000</f>
        <v>765.31223677590037</v>
      </c>
      <c r="M58" s="90">
        <f>'Resource Depletion'!M37*M11/1000000+'Resource Depletion'!M38*M12/1000000+'Resource Depletion'!M39*M13/1000000+'Resource Depletion'!M40*M14/1000000</f>
        <v>780.61848151141828</v>
      </c>
      <c r="N58" s="90">
        <f>'Resource Depletion'!N37*N11/1000000+'Resource Depletion'!N38*N12/1000000+'Resource Depletion'!N39*N13/1000000+'Resource Depletion'!N40*N14/1000000</f>
        <v>796.23085114164667</v>
      </c>
      <c r="O58" s="90">
        <f>'Resource Depletion'!O37*O11/1000000+'Resource Depletion'!O38*O12/1000000+'Resource Depletion'!O39*O13/1000000+'Resource Depletion'!O40*O14/1000000</f>
        <v>812.15546816447954</v>
      </c>
      <c r="P58" s="90">
        <f>'Resource Depletion'!P37*P11/1000000+'Resource Depletion'!P38*P12/1000000+'Resource Depletion'!P39*P13/1000000+'Resource Depletion'!P40*P14/1000000</f>
        <v>828.39857752776925</v>
      </c>
      <c r="Q58" s="90">
        <f>'Resource Depletion'!Q37*Q11/1000000+'Resource Depletion'!Q38*Q12/1000000+'Resource Depletion'!Q39*Q13/1000000+'Resource Depletion'!Q40*Q14/1000000</f>
        <v>844.96654907832453</v>
      </c>
      <c r="R58" s="90">
        <f>'Resource Depletion'!R37*R11/1000000+'Resource Depletion'!R38*R12/1000000+'Resource Depletion'!R39*R13/1000000+'Resource Depletion'!R40*R14/1000000</f>
        <v>861.86588005989108</v>
      </c>
      <c r="S58" s="90">
        <f>'Resource Depletion'!S37*S11/1000000+'Resource Depletion'!S38*S12/1000000+'Resource Depletion'!S39*S13/1000000+'Resource Depletion'!S40*S14/1000000</f>
        <v>879.10319766108898</v>
      </c>
      <c r="T58" s="90">
        <f>'Resource Depletion'!T37*T11/1000000+'Resource Depletion'!T38*T12/1000000+'Resource Depletion'!T39*T13/1000000+'Resource Depletion'!T40*T14/1000000</f>
        <v>896.68526161431078</v>
      </c>
      <c r="U58" s="90">
        <f>'Resource Depletion'!U37*U11/1000000+'Resource Depletion'!U38*U12/1000000+'Resource Depletion'!U39*U13/1000000+'Resource Depletion'!U40*U14/1000000</f>
        <v>914.61896684659678</v>
      </c>
      <c r="V58" s="90">
        <f>'Resource Depletion'!V37*V11/1000000+'Resource Depletion'!V38*V12/1000000+'Resource Depletion'!V39*V13/1000000+'Resource Depletion'!V40*V14/1000000</f>
        <v>0</v>
      </c>
    </row>
    <row r="59" spans="1:22" ht="15" customHeight="1" x14ac:dyDescent="0.2">
      <c r="A59" s="5" t="s">
        <v>615</v>
      </c>
      <c r="B59" s="85">
        <f t="shared" ref="B59:V59" si="17">B51</f>
        <v>0</v>
      </c>
      <c r="C59" s="85">
        <f t="shared" si="17"/>
        <v>0</v>
      </c>
      <c r="D59" s="85">
        <f t="shared" si="17"/>
        <v>0</v>
      </c>
      <c r="E59" s="85">
        <f t="shared" si="17"/>
        <v>-13.467835533878816</v>
      </c>
      <c r="F59" s="85">
        <f t="shared" si="17"/>
        <v>-24.41923855732761</v>
      </c>
      <c r="G59" s="85">
        <f t="shared" si="17"/>
        <v>-34.465288222760677</v>
      </c>
      <c r="H59" s="85">
        <f t="shared" si="17"/>
        <v>-44.145260239786126</v>
      </c>
      <c r="I59" s="85">
        <f t="shared" si="17"/>
        <v>-50.112765698572503</v>
      </c>
      <c r="J59" s="85">
        <f t="shared" si="17"/>
        <v>0</v>
      </c>
      <c r="K59" s="85">
        <f t="shared" si="17"/>
        <v>0</v>
      </c>
      <c r="L59" s="85">
        <f t="shared" si="17"/>
        <v>0</v>
      </c>
      <c r="M59" s="85">
        <f t="shared" si="17"/>
        <v>0</v>
      </c>
      <c r="N59" s="85">
        <f t="shared" si="17"/>
        <v>0</v>
      </c>
      <c r="O59" s="85">
        <f t="shared" si="17"/>
        <v>0</v>
      </c>
      <c r="P59" s="85">
        <f t="shared" si="17"/>
        <v>0</v>
      </c>
      <c r="Q59" s="85">
        <f t="shared" si="17"/>
        <v>0</v>
      </c>
      <c r="R59" s="85">
        <f t="shared" si="17"/>
        <v>0</v>
      </c>
      <c r="S59" s="85">
        <f t="shared" si="17"/>
        <v>0</v>
      </c>
      <c r="T59" s="85">
        <f t="shared" si="17"/>
        <v>0</v>
      </c>
      <c r="U59" s="85">
        <f t="shared" si="17"/>
        <v>0</v>
      </c>
      <c r="V59" s="85">
        <f t="shared" si="17"/>
        <v>0</v>
      </c>
    </row>
    <row r="60" spans="1:22" ht="15" customHeight="1" x14ac:dyDescent="0.2">
      <c r="A60" s="5" t="s">
        <v>616</v>
      </c>
      <c r="B60" s="78">
        <f t="shared" ref="B60:V60" si="18">-B55</f>
        <v>0</v>
      </c>
      <c r="C60" s="78">
        <f t="shared" si="18"/>
        <v>0</v>
      </c>
      <c r="D60" s="78">
        <f t="shared" si="18"/>
        <v>0</v>
      </c>
      <c r="E60" s="78">
        <f t="shared" si="18"/>
        <v>0</v>
      </c>
      <c r="F60" s="78">
        <f t="shared" si="18"/>
        <v>0</v>
      </c>
      <c r="G60" s="78">
        <f t="shared" si="18"/>
        <v>0</v>
      </c>
      <c r="H60" s="78">
        <f t="shared" si="18"/>
        <v>0</v>
      </c>
      <c r="I60" s="78">
        <f t="shared" si="18"/>
        <v>0</v>
      </c>
      <c r="J60" s="78">
        <f t="shared" si="18"/>
        <v>0</v>
      </c>
      <c r="K60" s="78">
        <f t="shared" si="18"/>
        <v>0</v>
      </c>
      <c r="L60" s="78">
        <f t="shared" si="18"/>
        <v>0</v>
      </c>
      <c r="M60" s="78">
        <f t="shared" si="18"/>
        <v>0</v>
      </c>
      <c r="N60" s="78">
        <f t="shared" si="18"/>
        <v>0</v>
      </c>
      <c r="O60" s="78">
        <f t="shared" si="18"/>
        <v>0</v>
      </c>
      <c r="P60" s="78">
        <f t="shared" si="18"/>
        <v>0</v>
      </c>
      <c r="Q60" s="78">
        <f t="shared" si="18"/>
        <v>0</v>
      </c>
      <c r="R60" s="78">
        <f t="shared" si="18"/>
        <v>0</v>
      </c>
      <c r="S60" s="78">
        <f t="shared" si="18"/>
        <v>0</v>
      </c>
      <c r="T60" s="78">
        <f t="shared" si="18"/>
        <v>0</v>
      </c>
      <c r="U60" s="78">
        <f t="shared" si="18"/>
        <v>0</v>
      </c>
      <c r="V60" s="78">
        <f t="shared" si="18"/>
        <v>0</v>
      </c>
    </row>
    <row r="61" spans="1:22" ht="15" customHeight="1" x14ac:dyDescent="0.2">
      <c r="A61" s="35" t="s">
        <v>617</v>
      </c>
      <c r="B61" s="87">
        <f t="shared" ref="B61:V61" si="19">B58+B59+B60</f>
        <v>0</v>
      </c>
      <c r="C61" s="87">
        <f t="shared" si="19"/>
        <v>0</v>
      </c>
      <c r="D61" s="87">
        <f t="shared" si="19"/>
        <v>0</v>
      </c>
      <c r="E61" s="87">
        <f t="shared" si="19"/>
        <v>319.65734323764207</v>
      </c>
      <c r="F61" s="87">
        <f t="shared" si="19"/>
        <v>485.26228496309926</v>
      </c>
      <c r="G61" s="87">
        <f t="shared" si="19"/>
        <v>589.38489656624188</v>
      </c>
      <c r="H61" s="87">
        <f t="shared" si="19"/>
        <v>662.88494918775018</v>
      </c>
      <c r="I61" s="87">
        <f t="shared" si="19"/>
        <v>671.05804791751427</v>
      </c>
      <c r="J61" s="87">
        <f t="shared" si="19"/>
        <v>735.59422988840856</v>
      </c>
      <c r="K61" s="87">
        <f t="shared" si="19"/>
        <v>750.30611448617685</v>
      </c>
      <c r="L61" s="87">
        <f t="shared" si="19"/>
        <v>765.31223677590037</v>
      </c>
      <c r="M61" s="87">
        <f t="shared" si="19"/>
        <v>780.61848151141828</v>
      </c>
      <c r="N61" s="87">
        <f t="shared" si="19"/>
        <v>796.23085114164667</v>
      </c>
      <c r="O61" s="87">
        <f t="shared" si="19"/>
        <v>812.15546816447954</v>
      </c>
      <c r="P61" s="87">
        <f t="shared" si="19"/>
        <v>828.39857752776925</v>
      </c>
      <c r="Q61" s="87">
        <f t="shared" si="19"/>
        <v>844.96654907832453</v>
      </c>
      <c r="R61" s="87">
        <f t="shared" si="19"/>
        <v>861.86588005989108</v>
      </c>
      <c r="S61" s="87">
        <f t="shared" si="19"/>
        <v>879.10319766108898</v>
      </c>
      <c r="T61" s="87">
        <f t="shared" si="19"/>
        <v>896.68526161431078</v>
      </c>
      <c r="U61" s="87">
        <f t="shared" si="19"/>
        <v>914.61896684659678</v>
      </c>
      <c r="V61" s="87">
        <f t="shared" si="19"/>
        <v>0</v>
      </c>
    </row>
    <row r="63" spans="1:22" ht="15" customHeight="1" x14ac:dyDescent="0.2">
      <c r="A63" s="5" t="s">
        <v>618</v>
      </c>
      <c r="B63" s="72">
        <f t="shared" ref="B63:V63" si="20">IF(B61&gt;0,B48/B61,0)</f>
        <v>0</v>
      </c>
      <c r="C63" s="72">
        <f t="shared" si="20"/>
        <v>0</v>
      </c>
      <c r="D63" s="72">
        <f t="shared" si="20"/>
        <v>0</v>
      </c>
      <c r="E63" s="72">
        <f t="shared" si="20"/>
        <v>0.39766021034363325</v>
      </c>
      <c r="F63" s="72">
        <f t="shared" si="20"/>
        <v>0.39292670259579487</v>
      </c>
      <c r="G63" s="72">
        <f t="shared" si="20"/>
        <v>0.38821322494453486</v>
      </c>
      <c r="H63" s="72">
        <f t="shared" si="20"/>
        <v>0.38352056870660578</v>
      </c>
      <c r="I63" s="72">
        <f t="shared" si="20"/>
        <v>0.37884951009601048</v>
      </c>
      <c r="J63" s="72">
        <f t="shared" si="20"/>
        <v>0</v>
      </c>
      <c r="K63" s="72">
        <f t="shared" si="20"/>
        <v>0</v>
      </c>
      <c r="L63" s="72">
        <f t="shared" si="20"/>
        <v>0</v>
      </c>
      <c r="M63" s="72">
        <f t="shared" si="20"/>
        <v>0</v>
      </c>
      <c r="N63" s="72">
        <f t="shared" si="20"/>
        <v>0</v>
      </c>
      <c r="O63" s="72">
        <f t="shared" si="20"/>
        <v>0</v>
      </c>
      <c r="P63" s="72">
        <f t="shared" si="20"/>
        <v>0</v>
      </c>
      <c r="Q63" s="72">
        <f t="shared" si="20"/>
        <v>0</v>
      </c>
      <c r="R63" s="72">
        <f t="shared" si="20"/>
        <v>0</v>
      </c>
      <c r="S63" s="72">
        <f t="shared" si="20"/>
        <v>0</v>
      </c>
      <c r="T63" s="72">
        <f t="shared" si="20"/>
        <v>0</v>
      </c>
      <c r="U63" s="72">
        <f t="shared" si="20"/>
        <v>0</v>
      </c>
      <c r="V63" s="72">
        <f t="shared" si="20"/>
        <v>0</v>
      </c>
    </row>
    <row r="64" spans="1:22" ht="15" customHeight="1" x14ac:dyDescent="0.2">
      <c r="A64" s="88" t="s">
        <v>619</v>
      </c>
      <c r="B64" s="91">
        <f t="shared" ref="B64:V64" si="21">IF(B58&gt;0,(B61-B58)/B58,0)</f>
        <v>0</v>
      </c>
      <c r="C64" s="91">
        <f t="shared" si="21"/>
        <v>0</v>
      </c>
      <c r="D64" s="91">
        <f t="shared" si="21"/>
        <v>0</v>
      </c>
      <c r="E64" s="91">
        <f t="shared" si="21"/>
        <v>-4.0428752889663591E-2</v>
      </c>
      <c r="F64" s="91">
        <f t="shared" si="21"/>
        <v>-4.7910778457616481E-2</v>
      </c>
      <c r="G64" s="91">
        <f t="shared" si="21"/>
        <v>-5.5246097641884144E-2</v>
      </c>
      <c r="H64" s="91">
        <f t="shared" si="21"/>
        <v>-6.2437587038224829E-2</v>
      </c>
      <c r="I64" s="91">
        <f t="shared" si="21"/>
        <v>-6.9488066838558848E-2</v>
      </c>
      <c r="J64" s="91">
        <f t="shared" si="21"/>
        <v>0</v>
      </c>
      <c r="K64" s="91">
        <f t="shared" si="21"/>
        <v>0</v>
      </c>
      <c r="L64" s="91">
        <f t="shared" si="21"/>
        <v>0</v>
      </c>
      <c r="M64" s="91">
        <f t="shared" si="21"/>
        <v>0</v>
      </c>
      <c r="N64" s="91">
        <f t="shared" si="21"/>
        <v>0</v>
      </c>
      <c r="O64" s="91">
        <f t="shared" si="21"/>
        <v>0</v>
      </c>
      <c r="P64" s="91">
        <f t="shared" si="21"/>
        <v>0</v>
      </c>
      <c r="Q64" s="91">
        <f t="shared" si="21"/>
        <v>0</v>
      </c>
      <c r="R64" s="91">
        <f t="shared" si="21"/>
        <v>0</v>
      </c>
      <c r="S64" s="91">
        <f t="shared" si="21"/>
        <v>0</v>
      </c>
      <c r="T64" s="91">
        <f t="shared" si="21"/>
        <v>0</v>
      </c>
      <c r="U64" s="91">
        <f t="shared" si="21"/>
        <v>0</v>
      </c>
      <c r="V64" s="91">
        <f t="shared" si="21"/>
        <v>0</v>
      </c>
    </row>
  </sheetData>
  <pageMargins left="0.75" right="0.75" top="1" bottom="1" header="0.511811023622047" footer="0.511811023622047"/>
  <pageSetup paperSize="9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548235"/>
  </sheetPr>
  <dimension ref="A1:V54"/>
  <sheetViews>
    <sheetView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baseColWidth="10" defaultColWidth="8.6640625" defaultRowHeight="15" x14ac:dyDescent="0.2"/>
  <cols>
    <col min="1" max="1" width="44" customWidth="1"/>
    <col min="2" max="22" width="14" customWidth="1"/>
  </cols>
  <sheetData>
    <row r="1" spans="1:22" ht="17.25" customHeight="1" x14ac:dyDescent="0.2">
      <c r="A1" s="2" t="s">
        <v>620</v>
      </c>
    </row>
    <row r="3" spans="1:22" ht="15" customHeight="1" x14ac:dyDescent="0.2">
      <c r="A3" s="39" t="s">
        <v>535</v>
      </c>
      <c r="B3" s="69">
        <f>Assumptions!B4+0</f>
        <v>2025</v>
      </c>
      <c r="C3" s="69">
        <f>Assumptions!B4+1</f>
        <v>2026</v>
      </c>
      <c r="D3" s="69">
        <f>Assumptions!B4+2</f>
        <v>2027</v>
      </c>
      <c r="E3" s="69">
        <f>Assumptions!B4+3</f>
        <v>2028</v>
      </c>
      <c r="F3" s="69">
        <f>Assumptions!B4+4</f>
        <v>2029</v>
      </c>
      <c r="G3" s="69">
        <f>Assumptions!B4+5</f>
        <v>2030</v>
      </c>
      <c r="H3" s="69">
        <f>Assumptions!B4+6</f>
        <v>2031</v>
      </c>
      <c r="I3" s="69">
        <f>Assumptions!B4+7</f>
        <v>2032</v>
      </c>
      <c r="J3" s="69">
        <f>Assumptions!B4+8</f>
        <v>2033</v>
      </c>
      <c r="K3" s="69">
        <f>Assumptions!B4+9</f>
        <v>2034</v>
      </c>
      <c r="L3" s="69">
        <f>Assumptions!B4+10</f>
        <v>2035</v>
      </c>
      <c r="M3" s="69">
        <f>Assumptions!B4+11</f>
        <v>2036</v>
      </c>
      <c r="N3" s="69">
        <f>Assumptions!B4+12</f>
        <v>2037</v>
      </c>
      <c r="O3" s="69">
        <f>Assumptions!B4+13</f>
        <v>2038</v>
      </c>
      <c r="P3" s="69">
        <f>Assumptions!B4+14</f>
        <v>2039</v>
      </c>
      <c r="Q3" s="69">
        <f>Assumptions!B4+15</f>
        <v>2040</v>
      </c>
      <c r="R3" s="69">
        <f>Assumptions!B4+16</f>
        <v>2041</v>
      </c>
      <c r="S3" s="69">
        <f>Assumptions!B4+17</f>
        <v>2042</v>
      </c>
      <c r="T3" s="69">
        <f>Assumptions!B4+18</f>
        <v>2043</v>
      </c>
      <c r="U3" s="69">
        <f>Assumptions!B4+19</f>
        <v>2044</v>
      </c>
      <c r="V3" s="69">
        <f>Assumptions!B4+20</f>
        <v>2045</v>
      </c>
    </row>
    <row r="4" spans="1:22" ht="15" customHeight="1" x14ac:dyDescent="0.2">
      <c r="A4" s="7" t="s">
        <v>536</v>
      </c>
      <c r="B4" s="70">
        <v>0</v>
      </c>
      <c r="C4" s="70">
        <v>1</v>
      </c>
      <c r="D4" s="70">
        <v>2</v>
      </c>
      <c r="E4" s="70">
        <v>3</v>
      </c>
      <c r="F4" s="70">
        <v>4</v>
      </c>
      <c r="G4" s="70">
        <v>5</v>
      </c>
      <c r="H4" s="70">
        <v>6</v>
      </c>
      <c r="I4" s="70">
        <v>7</v>
      </c>
      <c r="J4" s="70">
        <v>8</v>
      </c>
      <c r="K4" s="70">
        <v>9</v>
      </c>
      <c r="L4" s="70">
        <v>10</v>
      </c>
      <c r="M4" s="70">
        <v>11</v>
      </c>
      <c r="N4" s="70">
        <v>12</v>
      </c>
      <c r="O4" s="70">
        <v>13</v>
      </c>
      <c r="P4" s="70">
        <v>14</v>
      </c>
      <c r="Q4" s="70">
        <v>15</v>
      </c>
      <c r="R4" s="70">
        <v>16</v>
      </c>
      <c r="S4" s="70">
        <v>17</v>
      </c>
      <c r="T4" s="70">
        <v>18</v>
      </c>
      <c r="U4" s="70">
        <v>19</v>
      </c>
      <c r="V4" s="70">
        <v>20</v>
      </c>
    </row>
    <row r="6" spans="1:22" ht="15" customHeight="1" x14ac:dyDescent="0.2">
      <c r="A6" s="19" t="s">
        <v>621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</row>
    <row r="7" spans="1:22" ht="15" customHeight="1" x14ac:dyDescent="0.2">
      <c r="A7" s="5" t="s">
        <v>622</v>
      </c>
      <c r="B7" s="90">
        <f>Hedging!B29</f>
        <v>0</v>
      </c>
      <c r="C7" s="90">
        <f>Hedging!C29</f>
        <v>0</v>
      </c>
      <c r="D7" s="90">
        <f>Hedging!D29</f>
        <v>0</v>
      </c>
      <c r="E7" s="90">
        <f>Hedging!E29</f>
        <v>155.32549798447118</v>
      </c>
      <c r="F7" s="90">
        <f>Hedging!F29</f>
        <v>235.42464284202094</v>
      </c>
      <c r="G7" s="90">
        <f>Hedging!G29</f>
        <v>285.49171994956976</v>
      </c>
      <c r="H7" s="90">
        <f>Hedging!H29</f>
        <v>320.5927905105525</v>
      </c>
      <c r="I7" s="90">
        <f>Hedging!I29</f>
        <v>324.04015422180356</v>
      </c>
      <c r="J7" s="90">
        <f>Hedging!J29</f>
        <v>358.663720518567</v>
      </c>
      <c r="K7" s="90">
        <f>Hedging!K29</f>
        <v>365.83699492893834</v>
      </c>
      <c r="L7" s="90">
        <f>Hedging!L29</f>
        <v>373.15373482751716</v>
      </c>
      <c r="M7" s="90">
        <f>Hedging!M29</f>
        <v>380.61680952406743</v>
      </c>
      <c r="N7" s="90">
        <f>Hedging!N29</f>
        <v>388.22914571454885</v>
      </c>
      <c r="O7" s="90">
        <f>Hedging!O29</f>
        <v>395.99372862883979</v>
      </c>
      <c r="P7" s="90">
        <f>Hedging!P29</f>
        <v>403.91360320141661</v>
      </c>
      <c r="Q7" s="90">
        <f>Hedging!Q29</f>
        <v>411.99187526544489</v>
      </c>
      <c r="R7" s="90">
        <f>Hedging!R29</f>
        <v>420.2317127707538</v>
      </c>
      <c r="S7" s="90">
        <f>Hedging!S29</f>
        <v>428.63634702616895</v>
      </c>
      <c r="T7" s="90">
        <f>Hedging!T29</f>
        <v>437.20907396669224</v>
      </c>
      <c r="U7" s="90">
        <f>Hedging!U29</f>
        <v>445.95325544602611</v>
      </c>
      <c r="V7" s="90">
        <f>Hedging!V29</f>
        <v>0</v>
      </c>
    </row>
    <row r="8" spans="1:22" ht="15" customHeight="1" x14ac:dyDescent="0.2">
      <c r="A8" s="5" t="s">
        <v>623</v>
      </c>
      <c r="B8" s="90">
        <f>Hedging!B34</f>
        <v>0</v>
      </c>
      <c r="C8" s="90">
        <f>Hedging!C34</f>
        <v>0</v>
      </c>
      <c r="D8" s="90">
        <f>Hedging!D34</f>
        <v>0</v>
      </c>
      <c r="E8" s="90">
        <f>Hedging!E34</f>
        <v>105.1263292684103</v>
      </c>
      <c r="F8" s="90">
        <f>Hedging!F34</f>
        <v>159.66270924725515</v>
      </c>
      <c r="G8" s="90">
        <f>Hedging!G34</f>
        <v>194.01046667854507</v>
      </c>
      <c r="H8" s="90">
        <f>Hedging!H34</f>
        <v>218.30442952446759</v>
      </c>
      <c r="I8" s="90">
        <f>Hedging!I34</f>
        <v>221.09641873707341</v>
      </c>
      <c r="J8" s="90">
        <f>Hedging!J34</f>
        <v>242.06546473292579</v>
      </c>
      <c r="K8" s="90">
        <f>Hedging!K34</f>
        <v>246.90677402758431</v>
      </c>
      <c r="L8" s="90">
        <f>Hedging!L34</f>
        <v>251.84490950813603</v>
      </c>
      <c r="M8" s="90">
        <f>Hedging!M34</f>
        <v>256.8818076982987</v>
      </c>
      <c r="N8" s="90">
        <f>Hedging!N34</f>
        <v>262.01944385226471</v>
      </c>
      <c r="O8" s="90">
        <f>Hedging!O34</f>
        <v>267.25983272930995</v>
      </c>
      <c r="P8" s="90">
        <f>Hedging!P34</f>
        <v>272.60502938389624</v>
      </c>
      <c r="Q8" s="90">
        <f>Hedging!Q34</f>
        <v>278.05712997157406</v>
      </c>
      <c r="R8" s="90">
        <f>Hedging!R34</f>
        <v>283.6182725710056</v>
      </c>
      <c r="S8" s="90">
        <f>Hedging!S34</f>
        <v>289.2906380224257</v>
      </c>
      <c r="T8" s="90">
        <f>Hedging!T34</f>
        <v>295.07645078287425</v>
      </c>
      <c r="U8" s="90">
        <f>Hedging!U34</f>
        <v>300.97797979853163</v>
      </c>
      <c r="V8" s="90">
        <f>Hedging!V34</f>
        <v>0</v>
      </c>
    </row>
    <row r="9" spans="1:22" ht="15" customHeight="1" x14ac:dyDescent="0.2">
      <c r="A9" s="5" t="s">
        <v>624</v>
      </c>
      <c r="B9" s="90">
        <f>Hedging!B39</f>
        <v>0</v>
      </c>
      <c r="C9" s="90">
        <f>Hedging!C39</f>
        <v>0</v>
      </c>
      <c r="D9" s="90">
        <f>Hedging!D39</f>
        <v>0</v>
      </c>
      <c r="E9" s="90">
        <f>Hedging!E39</f>
        <v>49.864524577362673</v>
      </c>
      <c r="F9" s="90">
        <f>Hedging!F39</f>
        <v>75.88321602050442</v>
      </c>
      <c r="G9" s="90">
        <f>Hedging!G39</f>
        <v>92.389648509664895</v>
      </c>
      <c r="H9" s="90">
        <f>Hedging!H39</f>
        <v>104.16225953380628</v>
      </c>
      <c r="I9" s="90">
        <f>Hedging!I39</f>
        <v>105.69949594733512</v>
      </c>
      <c r="J9" s="90">
        <f>Hedging!J39</f>
        <v>114.23862604538752</v>
      </c>
      <c r="K9" s="90">
        <f>Hedging!K39</f>
        <v>116.52339856629527</v>
      </c>
      <c r="L9" s="90">
        <f>Hedging!L39</f>
        <v>118.85386653762119</v>
      </c>
      <c r="M9" s="90">
        <f>Hedging!M39</f>
        <v>121.23094386837357</v>
      </c>
      <c r="N9" s="90">
        <f>Hedging!N39</f>
        <v>123.65556274574107</v>
      </c>
      <c r="O9" s="90">
        <f>Hedging!O39</f>
        <v>126.12867400065588</v>
      </c>
      <c r="P9" s="90">
        <f>Hedging!P39</f>
        <v>128.65124748066901</v>
      </c>
      <c r="Q9" s="90">
        <f>Hedging!Q39</f>
        <v>131.22427243028235</v>
      </c>
      <c r="R9" s="90">
        <f>Hedging!R39</f>
        <v>133.84875787888802</v>
      </c>
      <c r="S9" s="90">
        <f>Hedging!S39</f>
        <v>136.52573303646579</v>
      </c>
      <c r="T9" s="90">
        <f>Hedging!T39</f>
        <v>139.25624769719511</v>
      </c>
      <c r="U9" s="90">
        <f>Hedging!U39</f>
        <v>142.041372651139</v>
      </c>
      <c r="V9" s="90">
        <f>Hedging!V39</f>
        <v>0</v>
      </c>
    </row>
    <row r="10" spans="1:22" ht="15" customHeight="1" x14ac:dyDescent="0.2">
      <c r="A10" s="5" t="s">
        <v>625</v>
      </c>
      <c r="B10" s="90">
        <f>Hedging!B44</f>
        <v>0</v>
      </c>
      <c r="C10" s="90">
        <f>Hedging!C44</f>
        <v>0</v>
      </c>
      <c r="D10" s="90">
        <f>Hedging!D44</f>
        <v>0</v>
      </c>
      <c r="E10" s="90">
        <f>Hedging!E44</f>
        <v>9.3409914073978815</v>
      </c>
      <c r="F10" s="90">
        <f>Hedging!F44</f>
        <v>14.291716853318757</v>
      </c>
      <c r="G10" s="90">
        <f>Hedging!G44</f>
        <v>17.493061428462163</v>
      </c>
      <c r="H10" s="90">
        <f>Hedging!H44</f>
        <v>19.825469618923787</v>
      </c>
      <c r="I10" s="90">
        <f>Hedging!I44</f>
        <v>20.221979011302256</v>
      </c>
      <c r="J10" s="90">
        <f>Hedging!J44</f>
        <v>20.626418591528303</v>
      </c>
      <c r="K10" s="90">
        <f>Hedging!K44</f>
        <v>21.038946963358867</v>
      </c>
      <c r="L10" s="90">
        <f>Hedging!L44</f>
        <v>21.459725902626047</v>
      </c>
      <c r="M10" s="90">
        <f>Hedging!M44</f>
        <v>21.888920420678563</v>
      </c>
      <c r="N10" s="90">
        <f>Hedging!N44</f>
        <v>22.326698829092138</v>
      </c>
      <c r="O10" s="90">
        <f>Hedging!O44</f>
        <v>22.773232805673977</v>
      </c>
      <c r="P10" s="90">
        <f>Hedging!P44</f>
        <v>23.228697461787462</v>
      </c>
      <c r="Q10" s="90">
        <f>Hedging!Q44</f>
        <v>23.693271411023204</v>
      </c>
      <c r="R10" s="90">
        <f>Hedging!R44</f>
        <v>24.167136839243671</v>
      </c>
      <c r="S10" s="90">
        <f>Hedging!S44</f>
        <v>24.650479576028548</v>
      </c>
      <c r="T10" s="90">
        <f>Hedging!T44</f>
        <v>25.14348916754912</v>
      </c>
      <c r="U10" s="90">
        <f>Hedging!U44</f>
        <v>25.646358950900101</v>
      </c>
      <c r="V10" s="90">
        <f>Hedging!V44</f>
        <v>0</v>
      </c>
    </row>
    <row r="11" spans="1:22" ht="15" customHeight="1" x14ac:dyDescent="0.2">
      <c r="A11" s="35" t="s">
        <v>626</v>
      </c>
      <c r="B11" s="84">
        <f t="shared" ref="B11:V11" si="0">B7+B8+B9+B10</f>
        <v>0</v>
      </c>
      <c r="C11" s="84">
        <f t="shared" si="0"/>
        <v>0</v>
      </c>
      <c r="D11" s="84">
        <f t="shared" si="0"/>
        <v>0</v>
      </c>
      <c r="E11" s="84">
        <f t="shared" si="0"/>
        <v>319.65734323764201</v>
      </c>
      <c r="F11" s="84">
        <f t="shared" si="0"/>
        <v>485.26228496309926</v>
      </c>
      <c r="G11" s="84">
        <f t="shared" si="0"/>
        <v>589.38489656624188</v>
      </c>
      <c r="H11" s="84">
        <f t="shared" si="0"/>
        <v>662.88494918775018</v>
      </c>
      <c r="I11" s="84">
        <f t="shared" si="0"/>
        <v>671.05804791751427</v>
      </c>
      <c r="J11" s="84">
        <f t="shared" si="0"/>
        <v>735.59422988840856</v>
      </c>
      <c r="K11" s="84">
        <f t="shared" si="0"/>
        <v>750.30611448617685</v>
      </c>
      <c r="L11" s="84">
        <f t="shared" si="0"/>
        <v>765.31223677590037</v>
      </c>
      <c r="M11" s="84">
        <f t="shared" si="0"/>
        <v>780.61848151141828</v>
      </c>
      <c r="N11" s="84">
        <f t="shared" si="0"/>
        <v>796.23085114164667</v>
      </c>
      <c r="O11" s="84">
        <f t="shared" si="0"/>
        <v>812.15546816447954</v>
      </c>
      <c r="P11" s="84">
        <f t="shared" si="0"/>
        <v>828.39857752776925</v>
      </c>
      <c r="Q11" s="84">
        <f t="shared" si="0"/>
        <v>844.96654907832453</v>
      </c>
      <c r="R11" s="84">
        <f t="shared" si="0"/>
        <v>861.86588005989108</v>
      </c>
      <c r="S11" s="84">
        <f t="shared" si="0"/>
        <v>879.10319766108898</v>
      </c>
      <c r="T11" s="84">
        <f t="shared" si="0"/>
        <v>896.68526161431078</v>
      </c>
      <c r="U11" s="84">
        <f t="shared" si="0"/>
        <v>914.61896684659678</v>
      </c>
      <c r="V11" s="84">
        <f t="shared" si="0"/>
        <v>0</v>
      </c>
    </row>
    <row r="12" spans="1:22" ht="15" customHeight="1" x14ac:dyDescent="0.2">
      <c r="A12" s="5" t="s">
        <v>627</v>
      </c>
      <c r="B12" s="78">
        <f>-B11*Assumptions!B10</f>
        <v>0</v>
      </c>
      <c r="C12" s="78">
        <f>-C11*Assumptions!B10</f>
        <v>0</v>
      </c>
      <c r="D12" s="78">
        <f>-D11*Assumptions!B10</f>
        <v>0</v>
      </c>
      <c r="E12" s="78">
        <f>-E11*Assumptions!B10</f>
        <v>-9.5897202971292597</v>
      </c>
      <c r="F12" s="78">
        <f>-F11*Assumptions!B10</f>
        <v>-14.557868548892976</v>
      </c>
      <c r="G12" s="78">
        <f>-G11*Assumptions!B10</f>
        <v>-17.681546896987257</v>
      </c>
      <c r="H12" s="78">
        <f>-H11*Assumptions!B10</f>
        <v>-19.886548475632505</v>
      </c>
      <c r="I12" s="78">
        <f>-I11*Assumptions!B10</f>
        <v>-20.131741437525427</v>
      </c>
      <c r="J12" s="78">
        <f>-J11*Assumptions!B10</f>
        <v>-22.067826896652257</v>
      </c>
      <c r="K12" s="78">
        <f>-K11*Assumptions!B10</f>
        <v>-22.509183434585303</v>
      </c>
      <c r="L12" s="78">
        <f>-L11*Assumptions!B10</f>
        <v>-22.95936710327701</v>
      </c>
      <c r="M12" s="78">
        <f>-M11*Assumptions!B10</f>
        <v>-23.418554445342547</v>
      </c>
      <c r="N12" s="78">
        <f>-N11*Assumptions!B10</f>
        <v>-23.8869255342494</v>
      </c>
      <c r="O12" s="78">
        <f>-O11*Assumptions!B10</f>
        <v>-24.364664044934386</v>
      </c>
      <c r="P12" s="78">
        <f>-P11*Assumptions!B10</f>
        <v>-24.851957325833077</v>
      </c>
      <c r="Q12" s="78">
        <f>-Q11*Assumptions!B10</f>
        <v>-25.348996472349736</v>
      </c>
      <c r="R12" s="78">
        <f>-R11*Assumptions!B10</f>
        <v>-25.855976401796731</v>
      </c>
      <c r="S12" s="78">
        <f>-S11*Assumptions!B10</f>
        <v>-26.373095929832669</v>
      </c>
      <c r="T12" s="78">
        <f>-T11*Assumptions!B10</f>
        <v>-26.900557848429322</v>
      </c>
      <c r="U12" s="78">
        <f>-U11*Assumptions!B10</f>
        <v>-27.438569005397902</v>
      </c>
      <c r="V12" s="78">
        <f>-V11*Assumptions!B10</f>
        <v>0</v>
      </c>
    </row>
    <row r="13" spans="1:22" ht="15" customHeight="1" x14ac:dyDescent="0.2">
      <c r="A13" s="35" t="s">
        <v>628</v>
      </c>
      <c r="B13" s="84">
        <f>B11+B12-Hedging!B55</f>
        <v>0</v>
      </c>
      <c r="C13" s="84">
        <f>C11+C12-Hedging!C55</f>
        <v>0</v>
      </c>
      <c r="D13" s="84">
        <f>D11+D12-Hedging!D55</f>
        <v>0</v>
      </c>
      <c r="E13" s="84">
        <f>E11+E12-Hedging!E55</f>
        <v>310.06762294051276</v>
      </c>
      <c r="F13" s="84">
        <f>F11+F12-Hedging!F55</f>
        <v>470.70441641420626</v>
      </c>
      <c r="G13" s="84">
        <f>G11+G12-Hedging!G55</f>
        <v>571.70334966925464</v>
      </c>
      <c r="H13" s="84">
        <f>H11+H12-Hedging!H55</f>
        <v>642.9984007121177</v>
      </c>
      <c r="I13" s="84">
        <f>I11+I12-Hedging!I55</f>
        <v>650.92630647998885</v>
      </c>
      <c r="J13" s="84">
        <f>J11+J12-Hedging!J55</f>
        <v>713.5264029917563</v>
      </c>
      <c r="K13" s="84">
        <f>K11+K12-Hedging!K55</f>
        <v>727.79693105159151</v>
      </c>
      <c r="L13" s="84">
        <f>L11+L12-Hedging!L55</f>
        <v>742.35286967262334</v>
      </c>
      <c r="M13" s="84">
        <f>M11+M12-Hedging!M55</f>
        <v>757.1999270660757</v>
      </c>
      <c r="N13" s="84">
        <f>N11+N12-Hedging!N55</f>
        <v>772.3439256073973</v>
      </c>
      <c r="O13" s="84">
        <f>O11+O12-Hedging!O55</f>
        <v>787.7908041195451</v>
      </c>
      <c r="P13" s="84">
        <f>P11+P12-Hedging!P55</f>
        <v>803.54662020193621</v>
      </c>
      <c r="Q13" s="84">
        <f>Q11+Q12-Hedging!Q55</f>
        <v>819.61755260597477</v>
      </c>
      <c r="R13" s="84">
        <f>R11+R12-Hedging!R55</f>
        <v>836.00990365809434</v>
      </c>
      <c r="S13" s="84">
        <f>S11+S12-Hedging!S55</f>
        <v>852.73010173125635</v>
      </c>
      <c r="T13" s="84">
        <f>T11+T12-Hedging!T55</f>
        <v>869.78470376588143</v>
      </c>
      <c r="U13" s="84">
        <f>U11+U12-Hedging!U55</f>
        <v>887.1803978411989</v>
      </c>
      <c r="V13" s="84">
        <f>V11+V12-Hedging!V55</f>
        <v>0</v>
      </c>
    </row>
    <row r="15" spans="1:22" ht="15" customHeight="1" x14ac:dyDescent="0.2">
      <c r="A15" s="25" t="s">
        <v>75</v>
      </c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</row>
    <row r="16" spans="1:22" ht="15" customHeight="1" x14ac:dyDescent="0.2">
      <c r="A16" s="5" t="s">
        <v>629</v>
      </c>
      <c r="B16" s="78">
        <f>('Resource Depletion'!B16*1000*Assumptions!B59+'Resource Depletion'!B18*1000*Assumptions!B60)*'Resource Depletion'!B12/1000000</f>
        <v>0</v>
      </c>
      <c r="C16" s="78">
        <f>('Resource Depletion'!C16*1000*Assumptions!B59+'Resource Depletion'!C18*1000*Assumptions!B60)*'Resource Depletion'!C12/1000000</f>
        <v>0</v>
      </c>
      <c r="D16" s="78">
        <f>('Resource Depletion'!D16*1000*Assumptions!B59+'Resource Depletion'!D18*1000*Assumptions!B60)*'Resource Depletion'!D12/1000000</f>
        <v>0</v>
      </c>
      <c r="E16" s="78">
        <f>('Resource Depletion'!E16*1000*Assumptions!B59+'Resource Depletion'!E18*1000*Assumptions!B60)*'Resource Depletion'!E12/1000000</f>
        <v>45.22940624999999</v>
      </c>
      <c r="F16" s="78">
        <f>('Resource Depletion'!F16*1000*Assumptions!B59+'Resource Depletion'!F18*1000*Assumptions!B60)*'Resource Depletion'!F12/1000000</f>
        <v>69.540212109374991</v>
      </c>
      <c r="G16" s="78">
        <f>('Resource Depletion'!G16*1000*Assumptions!B59+'Resource Depletion'!G18*1000*Assumptions!B60)*'Resource Depletion'!G12/1000000</f>
        <v>85.534460894531222</v>
      </c>
      <c r="H16" s="78">
        <f>('Resource Depletion'!H16*1000*Assumptions!B59+'Resource Depletion'!H18*1000*Assumptions!B60)*'Resource Depletion'!H12/1000000</f>
        <v>97.414247129882767</v>
      </c>
      <c r="I16" s="78">
        <f>('Resource Depletion'!I16*1000*Assumptions!B59+'Resource Depletion'!I18*1000*Assumptions!B60)*'Resource Depletion'!I12/1000000</f>
        <v>99.849603308129844</v>
      </c>
      <c r="J16" s="78">
        <f>('Resource Depletion'!J16*1000*Assumptions!B59+'Resource Depletion'!J18*1000*Assumptions!B60)*'Resource Depletion'!J12/1000000</f>
        <v>102.34584339083308</v>
      </c>
      <c r="K16" s="78">
        <f>('Resource Depletion'!K16*1000*Assumptions!B59+'Resource Depletion'!K18*1000*Assumptions!B60)*'Resource Depletion'!K12/1000000</f>
        <v>104.9044894756039</v>
      </c>
      <c r="L16" s="78">
        <f>('Resource Depletion'!L16*1000*Assumptions!B59+'Resource Depletion'!L18*1000*Assumptions!B60)*'Resource Depletion'!L12/1000000</f>
        <v>107.527101712494</v>
      </c>
      <c r="M16" s="78">
        <f>('Resource Depletion'!M16*1000*Assumptions!B59+'Resource Depletion'!M18*1000*Assumptions!B60)*'Resource Depletion'!M12/1000000</f>
        <v>110.21527925530634</v>
      </c>
      <c r="N16" s="78">
        <f>('Resource Depletion'!N16*1000*Assumptions!B59+'Resource Depletion'!N18*1000*Assumptions!B60)*'Resource Depletion'!N12/1000000</f>
        <v>112.97066123668898</v>
      </c>
      <c r="O16" s="78">
        <f>('Resource Depletion'!O16*1000*Assumptions!B59+'Resource Depletion'!O18*1000*Assumptions!B60)*'Resource Depletion'!O12/1000000</f>
        <v>115.79492776760621</v>
      </c>
      <c r="P16" s="78">
        <f>('Resource Depletion'!P16*1000*Assumptions!B59+'Resource Depletion'!P18*1000*Assumptions!B60)*'Resource Depletion'!P12/1000000</f>
        <v>118.68980096179637</v>
      </c>
      <c r="Q16" s="78">
        <f>('Resource Depletion'!Q16*1000*Assumptions!B59+'Resource Depletion'!Q18*1000*Assumptions!B60)*'Resource Depletion'!Q12/1000000</f>
        <v>121.65704598584128</v>
      </c>
      <c r="R16" s="78">
        <f>('Resource Depletion'!R16*1000*Assumptions!B59+'Resource Depletion'!R18*1000*Assumptions!B60)*'Resource Depletion'!R12/1000000</f>
        <v>124.69847213548731</v>
      </c>
      <c r="S16" s="78">
        <f>('Resource Depletion'!S16*1000*Assumptions!B59+'Resource Depletion'!S18*1000*Assumptions!B60)*'Resource Depletion'!S12/1000000</f>
        <v>127.81593393887447</v>
      </c>
      <c r="T16" s="78">
        <f>('Resource Depletion'!T16*1000*Assumptions!B59+'Resource Depletion'!T18*1000*Assumptions!B60)*'Resource Depletion'!T12/1000000</f>
        <v>131.01133228734633</v>
      </c>
      <c r="U16" s="78">
        <f>('Resource Depletion'!U16*1000*Assumptions!B59+'Resource Depletion'!U18*1000*Assumptions!B60)*'Resource Depletion'!U12/1000000</f>
        <v>134.28661559452999</v>
      </c>
      <c r="V16" s="78">
        <f>('Resource Depletion'!V16*1000*Assumptions!B59+'Resource Depletion'!V18*1000*Assumptions!B60)*'Resource Depletion'!V12/1000000</f>
        <v>0</v>
      </c>
    </row>
    <row r="17" spans="1:22" ht="15" customHeight="1" x14ac:dyDescent="0.2">
      <c r="A17" s="5" t="s">
        <v>630</v>
      </c>
      <c r="B17" s="78">
        <f>'Resource Depletion'!B17*1000*Assumptions!B61*'Resource Depletion'!B12/1000000</f>
        <v>0</v>
      </c>
      <c r="C17" s="78">
        <f>'Resource Depletion'!C17*1000*Assumptions!B61*'Resource Depletion'!C12/1000000</f>
        <v>0</v>
      </c>
      <c r="D17" s="78">
        <f>'Resource Depletion'!D17*1000*Assumptions!B61*'Resource Depletion'!D12/1000000</f>
        <v>0</v>
      </c>
      <c r="E17" s="78">
        <f>'Resource Depletion'!E17*1000*Assumptions!B61*'Resource Depletion'!E12/1000000</f>
        <v>53.306085937499994</v>
      </c>
      <c r="F17" s="78">
        <f>'Resource Depletion'!F17*1000*Assumptions!B61*'Resource Depletion'!F12/1000000</f>
        <v>81.958107128906235</v>
      </c>
      <c r="G17" s="78">
        <f>'Resource Depletion'!G17*1000*Assumptions!B61*'Resource Depletion'!G12/1000000</f>
        <v>100.80847176855465</v>
      </c>
      <c r="H17" s="78">
        <f>'Resource Depletion'!H17*1000*Assumptions!B61*'Resource Depletion'!H12/1000000</f>
        <v>114.80964840307612</v>
      </c>
      <c r="I17" s="78">
        <f>'Resource Depletion'!I17*1000*Assumptions!B61*'Resource Depletion'!I12/1000000</f>
        <v>117.67988961315304</v>
      </c>
      <c r="J17" s="78">
        <f>'Resource Depletion'!J17*1000*Assumptions!B61*'Resource Depletion'!J12/1000000</f>
        <v>120.62188685348185</v>
      </c>
      <c r="K17" s="78">
        <f>'Resource Depletion'!K17*1000*Assumptions!B61*'Resource Depletion'!K12/1000000</f>
        <v>123.63743402481889</v>
      </c>
      <c r="L17" s="78">
        <f>'Resource Depletion'!L17*1000*Assumptions!B61*'Resource Depletion'!L12/1000000</f>
        <v>126.72836987543934</v>
      </c>
      <c r="M17" s="78">
        <f>'Resource Depletion'!M17*1000*Assumptions!B61*'Resource Depletion'!M12/1000000</f>
        <v>129.89657912232533</v>
      </c>
      <c r="N17" s="78">
        <f>'Resource Depletion'!N17*1000*Assumptions!B61*'Resource Depletion'!N12/1000000</f>
        <v>133.14399360038345</v>
      </c>
      <c r="O17" s="78">
        <f>'Resource Depletion'!O17*1000*Assumptions!B61*'Resource Depletion'!O12/1000000</f>
        <v>136.47259344039304</v>
      </c>
      <c r="P17" s="78">
        <f>'Resource Depletion'!P17*1000*Assumptions!B61*'Resource Depletion'!P12/1000000</f>
        <v>139.88440827640284</v>
      </c>
      <c r="Q17" s="78">
        <f>'Resource Depletion'!Q17*1000*Assumptions!B61*'Resource Depletion'!Q12/1000000</f>
        <v>143.38151848331293</v>
      </c>
      <c r="R17" s="78">
        <f>'Resource Depletion'!R17*1000*Assumptions!B61*'Resource Depletion'!R12/1000000</f>
        <v>146.96605644539574</v>
      </c>
      <c r="S17" s="78">
        <f>'Resource Depletion'!S17*1000*Assumptions!B61*'Resource Depletion'!S12/1000000</f>
        <v>150.64020785653062</v>
      </c>
      <c r="T17" s="78">
        <f>'Resource Depletion'!T17*1000*Assumptions!B61*'Resource Depletion'!T12/1000000</f>
        <v>154.40621305294388</v>
      </c>
      <c r="U17" s="78">
        <f>'Resource Depletion'!U17*1000*Assumptions!B61*'Resource Depletion'!U12/1000000</f>
        <v>158.26636837926748</v>
      </c>
      <c r="V17" s="78">
        <f>'Resource Depletion'!V17*1000*Assumptions!B61*'Resource Depletion'!V12/1000000</f>
        <v>0</v>
      </c>
    </row>
    <row r="18" spans="1:22" ht="15" customHeight="1" x14ac:dyDescent="0.2">
      <c r="A18" s="5" t="s">
        <v>631</v>
      </c>
      <c r="B18" s="90">
        <f>('Resource Depletion'!B15*1000*(Assumptions!B62+Assumptions!B64)*'Resource Depletion'!B12)/1000000</f>
        <v>0</v>
      </c>
      <c r="C18" s="90">
        <f>('Resource Depletion'!C15*1000*(Assumptions!B62+Assumptions!B64)*'Resource Depletion'!C12)/1000000</f>
        <v>0</v>
      </c>
      <c r="D18" s="90">
        <f>('Resource Depletion'!D15*1000*(Assumptions!B62+Assumptions!B64)*'Resource Depletion'!D12)/1000000</f>
        <v>0</v>
      </c>
      <c r="E18" s="90">
        <f>('Resource Depletion'!E15*1000*(Assumptions!B62+Assumptions!B64)*'Resource Depletion'!E12)/1000000</f>
        <v>24.230039062499998</v>
      </c>
      <c r="F18" s="90">
        <f>('Resource Depletion'!F15*1000*(Assumptions!B62+Assumptions!B64)*'Resource Depletion'!F12)/1000000</f>
        <v>37.253685058593746</v>
      </c>
      <c r="G18" s="90">
        <f>('Resource Depletion'!G15*1000*(Assumptions!B62+Assumptions!B64)*'Resource Depletion'!G12)/1000000</f>
        <v>45.822032622070296</v>
      </c>
      <c r="H18" s="90">
        <f>('Resource Depletion'!H15*1000*(Assumptions!B62+Assumptions!B64)*'Resource Depletion'!H12)/1000000</f>
        <v>52.186203819580058</v>
      </c>
      <c r="I18" s="90">
        <f>('Resource Depletion'!I15*1000*(Assumptions!B62+Assumptions!B64)*'Resource Depletion'!I12)/1000000</f>
        <v>53.490858915069566</v>
      </c>
      <c r="J18" s="90">
        <f>('Resource Depletion'!J15*1000*(Assumptions!B62+Assumptions!B64)*'Resource Depletion'!J12)/1000000</f>
        <v>54.828130387946302</v>
      </c>
      <c r="K18" s="90">
        <f>('Resource Depletion'!K15*1000*(Assumptions!B62+Assumptions!B64)*'Resource Depletion'!K12)/1000000</f>
        <v>56.198833647644946</v>
      </c>
      <c r="L18" s="90">
        <f>('Resource Depletion'!L15*1000*(Assumptions!B62+Assumptions!B64)*'Resource Depletion'!L12)/1000000</f>
        <v>57.603804488836076</v>
      </c>
      <c r="M18" s="90">
        <f>('Resource Depletion'!M15*1000*(Assumptions!B62+Assumptions!B64)*'Resource Depletion'!M12)/1000000</f>
        <v>59.043899601056971</v>
      </c>
      <c r="N18" s="90">
        <f>('Resource Depletion'!N15*1000*(Assumptions!B62+Assumptions!B64)*'Resource Depletion'!N12)/1000000</f>
        <v>60.519997091083383</v>
      </c>
      <c r="O18" s="90">
        <f>('Resource Depletion'!O15*1000*(Assumptions!B62+Assumptions!B64)*'Resource Depletion'!O12)/1000000</f>
        <v>62.032997018360476</v>
      </c>
      <c r="P18" s="90">
        <f>('Resource Depletion'!P15*1000*(Assumptions!B62+Assumptions!B64)*'Resource Depletion'!P12)/1000000</f>
        <v>63.58382194381948</v>
      </c>
      <c r="Q18" s="90">
        <f>('Resource Depletion'!Q15*1000*(Assumptions!B62+Assumptions!B64)*'Resource Depletion'!Q12)/1000000</f>
        <v>65.17341749241497</v>
      </c>
      <c r="R18" s="90">
        <f>('Resource Depletion'!R15*1000*(Assumptions!B62+Assumptions!B64)*'Resource Depletion'!R12)/1000000</f>
        <v>66.802752929725344</v>
      </c>
      <c r="S18" s="90">
        <f>('Resource Depletion'!S15*1000*(Assumptions!B62+Assumptions!B64)*'Resource Depletion'!S12)/1000000</f>
        <v>68.472821752968457</v>
      </c>
      <c r="T18" s="90">
        <f>('Resource Depletion'!T15*1000*(Assumptions!B62+Assumptions!B64)*'Resource Depletion'!T12)/1000000</f>
        <v>70.184642296792688</v>
      </c>
      <c r="U18" s="90">
        <f>('Resource Depletion'!U15*1000*(Assumptions!B62+Assumptions!B64)*'Resource Depletion'!U12)/1000000</f>
        <v>71.939258354212498</v>
      </c>
      <c r="V18" s="90">
        <f>('Resource Depletion'!V15*1000*(Assumptions!B62+Assumptions!B64)*'Resource Depletion'!V12)/1000000</f>
        <v>0</v>
      </c>
    </row>
    <row r="19" spans="1:22" ht="15" customHeight="1" x14ac:dyDescent="0.2">
      <c r="A19" s="5" t="s">
        <v>632</v>
      </c>
      <c r="B19" s="90">
        <f>'Resource Depletion'!B36*1000*Assumptions!B63*'Resource Depletion'!B12/1000000</f>
        <v>0</v>
      </c>
      <c r="C19" s="90">
        <f>'Resource Depletion'!C36*1000*Assumptions!B63*'Resource Depletion'!C12/1000000</f>
        <v>0</v>
      </c>
      <c r="D19" s="90">
        <f>'Resource Depletion'!D36*1000*Assumptions!B63*'Resource Depletion'!D12/1000000</f>
        <v>0</v>
      </c>
      <c r="E19" s="90">
        <f>'Resource Depletion'!E36*1000*Assumptions!B63*'Resource Depletion'!E12/1000000</f>
        <v>22.614703124999995</v>
      </c>
      <c r="F19" s="90">
        <f>'Resource Depletion'!F36*1000*Assumptions!B63*'Resource Depletion'!F12/1000000</f>
        <v>34.770106054687496</v>
      </c>
      <c r="G19" s="90">
        <f>'Resource Depletion'!G36*1000*Assumptions!B63*'Resource Depletion'!G12/1000000</f>
        <v>42.767230447265611</v>
      </c>
      <c r="H19" s="90">
        <f>'Resource Depletion'!H36*1000*Assumptions!B63*'Resource Depletion'!H12/1000000</f>
        <v>48.707123564941384</v>
      </c>
      <c r="I19" s="90">
        <f>'Resource Depletion'!I36*1000*Assumptions!B63*'Resource Depletion'!I12/1000000</f>
        <v>49.924801654064922</v>
      </c>
      <c r="J19" s="90">
        <f>'Resource Depletion'!J36*1000*Assumptions!B63*'Resource Depletion'!J12/1000000</f>
        <v>51.172921695416541</v>
      </c>
      <c r="K19" s="90">
        <f>'Resource Depletion'!K36*1000*Assumptions!B63*'Resource Depletion'!K12/1000000</f>
        <v>52.452244737801948</v>
      </c>
      <c r="L19" s="90">
        <f>'Resource Depletion'!L36*1000*Assumptions!B63*'Resource Depletion'!L12/1000000</f>
        <v>53.763550856247001</v>
      </c>
      <c r="M19" s="90">
        <f>'Resource Depletion'!M36*1000*Assumptions!B63*'Resource Depletion'!M12/1000000</f>
        <v>55.107639627653171</v>
      </c>
      <c r="N19" s="90">
        <f>'Resource Depletion'!N36*1000*Assumptions!B63*'Resource Depletion'!N12/1000000</f>
        <v>56.485330618344491</v>
      </c>
      <c r="O19" s="90">
        <f>'Resource Depletion'!O36*1000*Assumptions!B63*'Resource Depletion'!O12/1000000</f>
        <v>57.897463883803105</v>
      </c>
      <c r="P19" s="90">
        <f>'Resource Depletion'!P36*1000*Assumptions!B63*'Resource Depletion'!P12/1000000</f>
        <v>59.344900480898183</v>
      </c>
      <c r="Q19" s="90">
        <f>'Resource Depletion'!Q36*1000*Assumptions!B63*'Resource Depletion'!Q12/1000000</f>
        <v>60.828522992920639</v>
      </c>
      <c r="R19" s="90">
        <f>'Resource Depletion'!R36*1000*Assumptions!B63*'Resource Depletion'!R12/1000000</f>
        <v>62.349236067743654</v>
      </c>
      <c r="S19" s="90">
        <f>'Resource Depletion'!S36*1000*Assumptions!B63*'Resource Depletion'!S12/1000000</f>
        <v>63.907966969437233</v>
      </c>
      <c r="T19" s="90">
        <f>'Resource Depletion'!T36*1000*Assumptions!B63*'Resource Depletion'!T12/1000000</f>
        <v>65.505666143673167</v>
      </c>
      <c r="U19" s="90">
        <f>'Resource Depletion'!U36*1000*Assumptions!B63*'Resource Depletion'!U12/1000000</f>
        <v>67.143307797264995</v>
      </c>
      <c r="V19" s="90">
        <f>'Resource Depletion'!V36*1000*Assumptions!B63*'Resource Depletion'!V12/1000000</f>
        <v>0</v>
      </c>
    </row>
    <row r="20" spans="1:22" ht="15" customHeight="1" x14ac:dyDescent="0.2">
      <c r="A20" s="5" t="s">
        <v>633</v>
      </c>
      <c r="B20" s="78">
        <f>'Resource Depletion'!B15*1000*Assumptions!B65*'Resource Depletion'!B12/1000000</f>
        <v>0</v>
      </c>
      <c r="C20" s="78">
        <f>'Resource Depletion'!C15*1000*Assumptions!B65*'Resource Depletion'!C12/1000000</f>
        <v>0</v>
      </c>
      <c r="D20" s="78">
        <f>'Resource Depletion'!D15*1000*Assumptions!B65*'Resource Depletion'!D12/1000000</f>
        <v>0</v>
      </c>
      <c r="E20" s="78">
        <f>'Resource Depletion'!E15*1000*Assumptions!B65*'Resource Depletion'!E12/1000000</f>
        <v>9.692015624999998</v>
      </c>
      <c r="F20" s="78">
        <f>'Resource Depletion'!F15*1000*Assumptions!B65*'Resource Depletion'!F12/1000000</f>
        <v>14.901474023437496</v>
      </c>
      <c r="G20" s="78">
        <f>'Resource Depletion'!G15*1000*Assumptions!B65*'Resource Depletion'!G12/1000000</f>
        <v>18.328813048828117</v>
      </c>
      <c r="H20" s="78">
        <f>'Resource Depletion'!H15*1000*Assumptions!B65*'Resource Depletion'!H12/1000000</f>
        <v>20.874481527832025</v>
      </c>
      <c r="I20" s="78">
        <f>'Resource Depletion'!I15*1000*Assumptions!B65*'Resource Depletion'!I12/1000000</f>
        <v>21.396343566027824</v>
      </c>
      <c r="J20" s="78">
        <f>'Resource Depletion'!J15*1000*Assumptions!B65*'Resource Depletion'!J12/1000000</f>
        <v>21.931252155178516</v>
      </c>
      <c r="K20" s="78">
        <f>'Resource Depletion'!K15*1000*Assumptions!B65*'Resource Depletion'!K12/1000000</f>
        <v>22.479533459057979</v>
      </c>
      <c r="L20" s="78">
        <f>'Resource Depletion'!L15*1000*Assumptions!B65*'Resource Depletion'!L12/1000000</f>
        <v>23.041521795534429</v>
      </c>
      <c r="M20" s="78">
        <f>'Resource Depletion'!M15*1000*Assumptions!B65*'Resource Depletion'!M12/1000000</f>
        <v>23.617559840422786</v>
      </c>
      <c r="N20" s="78">
        <f>'Resource Depletion'!N15*1000*Assumptions!B65*'Resource Depletion'!N12/1000000</f>
        <v>24.207998836433354</v>
      </c>
      <c r="O20" s="78">
        <f>'Resource Depletion'!O15*1000*Assumptions!B65*'Resource Depletion'!O12/1000000</f>
        <v>24.813198807344186</v>
      </c>
      <c r="P20" s="78">
        <f>'Resource Depletion'!P15*1000*Assumptions!B65*'Resource Depletion'!P12/1000000</f>
        <v>25.433528777527791</v>
      </c>
      <c r="Q20" s="78">
        <f>'Resource Depletion'!Q15*1000*Assumptions!B65*'Resource Depletion'!Q12/1000000</f>
        <v>26.069366996965989</v>
      </c>
      <c r="R20" s="78">
        <f>'Resource Depletion'!R15*1000*Assumptions!B65*'Resource Depletion'!R12/1000000</f>
        <v>26.721101171890137</v>
      </c>
      <c r="S20" s="78">
        <f>'Resource Depletion'!S15*1000*Assumptions!B65*'Resource Depletion'!S12/1000000</f>
        <v>27.389128701187389</v>
      </c>
      <c r="T20" s="78">
        <f>'Resource Depletion'!T15*1000*Assumptions!B65*'Resource Depletion'!T12/1000000</f>
        <v>28.07385691871707</v>
      </c>
      <c r="U20" s="78">
        <f>'Resource Depletion'!U15*1000*Assumptions!B65*'Resource Depletion'!U12/1000000</f>
        <v>28.775703341685002</v>
      </c>
      <c r="V20" s="78">
        <f>'Resource Depletion'!V15*1000*Assumptions!B65*'Resource Depletion'!V12/1000000</f>
        <v>0</v>
      </c>
    </row>
    <row r="21" spans="1:22" ht="15" customHeight="1" x14ac:dyDescent="0.2">
      <c r="A21" s="35" t="s">
        <v>634</v>
      </c>
      <c r="B21" s="84">
        <f t="shared" ref="B21:V21" si="1">B16+B17+B18+B19+B20</f>
        <v>0</v>
      </c>
      <c r="C21" s="84">
        <f t="shared" si="1"/>
        <v>0</v>
      </c>
      <c r="D21" s="84">
        <f t="shared" si="1"/>
        <v>0</v>
      </c>
      <c r="E21" s="84">
        <f t="shared" si="1"/>
        <v>155.07225</v>
      </c>
      <c r="F21" s="84">
        <f t="shared" si="1"/>
        <v>238.42358437499996</v>
      </c>
      <c r="G21" s="84">
        <f t="shared" si="1"/>
        <v>293.26100878124993</v>
      </c>
      <c r="H21" s="84">
        <f t="shared" si="1"/>
        <v>333.99170444531239</v>
      </c>
      <c r="I21" s="84">
        <f t="shared" si="1"/>
        <v>342.34149705644523</v>
      </c>
      <c r="J21" s="84">
        <f t="shared" si="1"/>
        <v>350.90003448285631</v>
      </c>
      <c r="K21" s="84">
        <f t="shared" si="1"/>
        <v>359.67253534492767</v>
      </c>
      <c r="L21" s="84">
        <f t="shared" si="1"/>
        <v>368.66434872855086</v>
      </c>
      <c r="M21" s="84">
        <f t="shared" si="1"/>
        <v>377.88095744676457</v>
      </c>
      <c r="N21" s="84">
        <f t="shared" si="1"/>
        <v>387.32798138293367</v>
      </c>
      <c r="O21" s="84">
        <f t="shared" si="1"/>
        <v>397.01118091750698</v>
      </c>
      <c r="P21" s="84">
        <f t="shared" si="1"/>
        <v>406.93646044044465</v>
      </c>
      <c r="Q21" s="84">
        <f t="shared" si="1"/>
        <v>417.10987195145577</v>
      </c>
      <c r="R21" s="84">
        <f t="shared" si="1"/>
        <v>427.53761875024219</v>
      </c>
      <c r="S21" s="84">
        <f t="shared" si="1"/>
        <v>438.2260592189981</v>
      </c>
      <c r="T21" s="84">
        <f t="shared" si="1"/>
        <v>449.18171069947311</v>
      </c>
      <c r="U21" s="84">
        <f t="shared" si="1"/>
        <v>460.41125346695998</v>
      </c>
      <c r="V21" s="84">
        <f t="shared" si="1"/>
        <v>0</v>
      </c>
    </row>
    <row r="23" spans="1:22" ht="15" customHeight="1" x14ac:dyDescent="0.2">
      <c r="A23" s="35" t="s">
        <v>635</v>
      </c>
      <c r="B23" s="87">
        <f t="shared" ref="B23:V23" si="2">B13-B21</f>
        <v>0</v>
      </c>
      <c r="C23" s="87">
        <f t="shared" si="2"/>
        <v>0</v>
      </c>
      <c r="D23" s="87">
        <f t="shared" si="2"/>
        <v>0</v>
      </c>
      <c r="E23" s="87">
        <f t="shared" si="2"/>
        <v>154.99537294051277</v>
      </c>
      <c r="F23" s="87">
        <f t="shared" si="2"/>
        <v>232.2808320392063</v>
      </c>
      <c r="G23" s="87">
        <f t="shared" si="2"/>
        <v>278.44234088800471</v>
      </c>
      <c r="H23" s="87">
        <f t="shared" si="2"/>
        <v>309.00669626680531</v>
      </c>
      <c r="I23" s="87">
        <f t="shared" si="2"/>
        <v>308.58480942354362</v>
      </c>
      <c r="J23" s="87">
        <f t="shared" si="2"/>
        <v>362.62636850889999</v>
      </c>
      <c r="K23" s="87">
        <f t="shared" si="2"/>
        <v>368.12439570666385</v>
      </c>
      <c r="L23" s="87">
        <f t="shared" si="2"/>
        <v>373.68852094407248</v>
      </c>
      <c r="M23" s="87">
        <f t="shared" si="2"/>
        <v>379.31896961931113</v>
      </c>
      <c r="N23" s="87">
        <f t="shared" si="2"/>
        <v>385.01594422446362</v>
      </c>
      <c r="O23" s="87">
        <f t="shared" si="2"/>
        <v>390.77962320203812</v>
      </c>
      <c r="P23" s="87">
        <f t="shared" si="2"/>
        <v>396.61015976149156</v>
      </c>
      <c r="Q23" s="87">
        <f t="shared" si="2"/>
        <v>402.50768065451899</v>
      </c>
      <c r="R23" s="87">
        <f t="shared" si="2"/>
        <v>408.47228490785216</v>
      </c>
      <c r="S23" s="87">
        <f t="shared" si="2"/>
        <v>414.50404251225825</v>
      </c>
      <c r="T23" s="87">
        <f t="shared" si="2"/>
        <v>420.60299306640832</v>
      </c>
      <c r="U23" s="87">
        <f t="shared" si="2"/>
        <v>426.76914437423892</v>
      </c>
      <c r="V23" s="87">
        <f t="shared" si="2"/>
        <v>0</v>
      </c>
    </row>
    <row r="25" spans="1:22" ht="15" customHeight="1" x14ac:dyDescent="0.2">
      <c r="A25" s="25" t="s">
        <v>636</v>
      </c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</row>
    <row r="26" spans="1:22" ht="15" customHeight="1" x14ac:dyDescent="0.2">
      <c r="A26" s="5" t="s">
        <v>637</v>
      </c>
      <c r="B26" s="78">
        <f>Assumptions!B73*Assumptions!B75</f>
        <v>225</v>
      </c>
      <c r="C26" s="78">
        <f>Assumptions!B73*Assumptions!B76</f>
        <v>337.5</v>
      </c>
      <c r="D26" s="78">
        <f>Assumptions!B73*Assumptions!B77</f>
        <v>187.5</v>
      </c>
      <c r="E26" s="78">
        <v>0</v>
      </c>
      <c r="F26" s="78">
        <v>0</v>
      </c>
      <c r="G26" s="78">
        <v>0</v>
      </c>
      <c r="H26" s="78">
        <v>0</v>
      </c>
      <c r="I26" s="78">
        <v>0</v>
      </c>
      <c r="J26" s="78">
        <v>0</v>
      </c>
      <c r="K26" s="78">
        <v>0</v>
      </c>
      <c r="L26" s="78">
        <v>0</v>
      </c>
      <c r="M26" s="78">
        <v>0</v>
      </c>
      <c r="N26" s="78">
        <v>0</v>
      </c>
      <c r="O26" s="78">
        <v>0</v>
      </c>
      <c r="P26" s="78">
        <v>0</v>
      </c>
      <c r="Q26" s="78">
        <v>0</v>
      </c>
      <c r="R26" s="78">
        <v>0</v>
      </c>
      <c r="S26" s="78">
        <v>0</v>
      </c>
      <c r="T26" s="78">
        <v>0</v>
      </c>
      <c r="U26" s="78">
        <v>0</v>
      </c>
      <c r="V26" s="78">
        <v>0</v>
      </c>
    </row>
    <row r="27" spans="1:22" ht="15" customHeight="1" x14ac:dyDescent="0.2">
      <c r="A27" s="5" t="s">
        <v>638</v>
      </c>
      <c r="B27" s="78">
        <f>'Resource Depletion'!B8*('Resource Depletion'!B16*1000*Assumptions!B78+'Resource Depletion'!B17*1000*Assumptions!B79)*'Resource Depletion'!B12/1000000</f>
        <v>0</v>
      </c>
      <c r="C27" s="78">
        <f>'Resource Depletion'!C8*('Resource Depletion'!C16*1000*Assumptions!B78+'Resource Depletion'!C17*1000*Assumptions!B79)*'Resource Depletion'!C12/1000000</f>
        <v>0</v>
      </c>
      <c r="D27" s="78">
        <f>'Resource Depletion'!D8*('Resource Depletion'!D16*1000*Assumptions!B78+'Resource Depletion'!D17*1000*Assumptions!B79)*'Resource Depletion'!D12/1000000</f>
        <v>0</v>
      </c>
      <c r="E27" s="78">
        <f>'Resource Depletion'!E8*('Resource Depletion'!E16*1000*Assumptions!B78+'Resource Depletion'!E17*1000*Assumptions!B79)*'Resource Depletion'!E12/1000000</f>
        <v>9.692015624999998</v>
      </c>
      <c r="F27" s="78">
        <f>'Resource Depletion'!F8*('Resource Depletion'!F16*1000*Assumptions!B78+'Resource Depletion'!F17*1000*Assumptions!B79)*'Resource Depletion'!F12/1000000</f>
        <v>14.901474023437496</v>
      </c>
      <c r="G27" s="78">
        <f>'Resource Depletion'!G8*('Resource Depletion'!G16*1000*Assumptions!B78+'Resource Depletion'!G17*1000*Assumptions!B79)*'Resource Depletion'!G12/1000000</f>
        <v>18.328813048828117</v>
      </c>
      <c r="H27" s="78">
        <f>'Resource Depletion'!H8*('Resource Depletion'!H16*1000*Assumptions!B78+'Resource Depletion'!H17*1000*Assumptions!B79)*'Resource Depletion'!H12/1000000</f>
        <v>20.874481527832025</v>
      </c>
      <c r="I27" s="78">
        <f>'Resource Depletion'!I8*('Resource Depletion'!I16*1000*Assumptions!B78+'Resource Depletion'!I17*1000*Assumptions!B79)*'Resource Depletion'!I12/1000000</f>
        <v>21.396343566027824</v>
      </c>
      <c r="J27" s="78">
        <f>'Resource Depletion'!J8*('Resource Depletion'!J16*1000*Assumptions!B78+'Resource Depletion'!J17*1000*Assumptions!B79)*'Resource Depletion'!J12/1000000</f>
        <v>21.931252155178516</v>
      </c>
      <c r="K27" s="78">
        <f>'Resource Depletion'!K8*('Resource Depletion'!K16*1000*Assumptions!B78+'Resource Depletion'!K17*1000*Assumptions!B79)*'Resource Depletion'!K12/1000000</f>
        <v>22.479533459057979</v>
      </c>
      <c r="L27" s="78">
        <f>'Resource Depletion'!L8*('Resource Depletion'!L16*1000*Assumptions!B78+'Resource Depletion'!L17*1000*Assumptions!B79)*'Resource Depletion'!L12/1000000</f>
        <v>23.041521795534429</v>
      </c>
      <c r="M27" s="78">
        <f>'Resource Depletion'!M8*('Resource Depletion'!M16*1000*Assumptions!B78+'Resource Depletion'!M17*1000*Assumptions!B79)*'Resource Depletion'!M12/1000000</f>
        <v>23.617559840422786</v>
      </c>
      <c r="N27" s="78">
        <f>'Resource Depletion'!N8*('Resource Depletion'!N16*1000*Assumptions!B78+'Resource Depletion'!N17*1000*Assumptions!B79)*'Resource Depletion'!N12/1000000</f>
        <v>24.207998836433354</v>
      </c>
      <c r="O27" s="78">
        <f>'Resource Depletion'!O8*('Resource Depletion'!O16*1000*Assumptions!B78+'Resource Depletion'!O17*1000*Assumptions!B79)*'Resource Depletion'!O12/1000000</f>
        <v>24.813198807344186</v>
      </c>
      <c r="P27" s="78">
        <f>'Resource Depletion'!P8*('Resource Depletion'!P16*1000*Assumptions!B78+'Resource Depletion'!P17*1000*Assumptions!B79)*'Resource Depletion'!P12/1000000</f>
        <v>25.433528777527791</v>
      </c>
      <c r="Q27" s="78">
        <f>'Resource Depletion'!Q8*('Resource Depletion'!Q16*1000*Assumptions!B78+'Resource Depletion'!Q17*1000*Assumptions!B79)*'Resource Depletion'!Q12/1000000</f>
        <v>26.069366996965989</v>
      </c>
      <c r="R27" s="78">
        <f>'Resource Depletion'!R8*('Resource Depletion'!R16*1000*Assumptions!B78+'Resource Depletion'!R17*1000*Assumptions!B79)*'Resource Depletion'!R12/1000000</f>
        <v>26.721101171890137</v>
      </c>
      <c r="S27" s="78">
        <f>'Resource Depletion'!S8*('Resource Depletion'!S16*1000*Assumptions!B78+'Resource Depletion'!S17*1000*Assumptions!B79)*'Resource Depletion'!S12/1000000</f>
        <v>27.389128701187389</v>
      </c>
      <c r="T27" s="78">
        <f>'Resource Depletion'!T8*('Resource Depletion'!T16*1000*Assumptions!B78+'Resource Depletion'!T17*1000*Assumptions!B79)*'Resource Depletion'!T12/1000000</f>
        <v>28.07385691871707</v>
      </c>
      <c r="U27" s="78">
        <f>'Resource Depletion'!U8*('Resource Depletion'!U16*1000*Assumptions!B78+'Resource Depletion'!U17*1000*Assumptions!B79)*'Resource Depletion'!U12/1000000</f>
        <v>28.775703341685002</v>
      </c>
      <c r="V27" s="78">
        <f>'Resource Depletion'!V8*('Resource Depletion'!V16*1000*Assumptions!B78+'Resource Depletion'!V17*1000*Assumptions!B79)*'Resource Depletion'!V12/1000000</f>
        <v>0</v>
      </c>
    </row>
    <row r="28" spans="1:22" ht="15" customHeight="1" x14ac:dyDescent="0.2">
      <c r="A28" s="5" t="s">
        <v>639</v>
      </c>
      <c r="B28" s="78">
        <f>IF(B4=Assumptions!B5+Assumptions!B6-1,Assumptions!B80,0)</f>
        <v>0</v>
      </c>
      <c r="C28" s="78">
        <f>IF(C4=Assumptions!B5+Assumptions!B6-1,Assumptions!B80,0)</f>
        <v>0</v>
      </c>
      <c r="D28" s="78">
        <f>IF(D4=Assumptions!B5+Assumptions!B6-1,Assumptions!B80,0)</f>
        <v>0</v>
      </c>
      <c r="E28" s="78">
        <f>IF(E4=Assumptions!B5+Assumptions!B6-1,Assumptions!B80,0)</f>
        <v>0</v>
      </c>
      <c r="F28" s="78">
        <f>IF(F4=Assumptions!B5+Assumptions!B6-1,Assumptions!B80,0)</f>
        <v>0</v>
      </c>
      <c r="G28" s="78">
        <f>IF(G4=Assumptions!B5+Assumptions!B6-1,Assumptions!B80,0)</f>
        <v>0</v>
      </c>
      <c r="H28" s="78">
        <f>IF(H4=Assumptions!B5+Assumptions!B6-1,Assumptions!B80,0)</f>
        <v>0</v>
      </c>
      <c r="I28" s="78">
        <f>IF(I4=Assumptions!B5+Assumptions!B6-1,Assumptions!B80,0)</f>
        <v>0</v>
      </c>
      <c r="J28" s="78">
        <f>IF(J4=Assumptions!B5+Assumptions!B6-1,Assumptions!B80,0)</f>
        <v>0</v>
      </c>
      <c r="K28" s="78">
        <f>IF(K4=Assumptions!B5+Assumptions!B6-1,Assumptions!B80,0)</f>
        <v>0</v>
      </c>
      <c r="L28" s="78">
        <f>IF(L4=Assumptions!B5+Assumptions!B6-1,Assumptions!B80,0)</f>
        <v>0</v>
      </c>
      <c r="M28" s="78">
        <f>IF(M4=Assumptions!B5+Assumptions!B6-1,Assumptions!B80,0)</f>
        <v>0</v>
      </c>
      <c r="N28" s="78">
        <f>IF(N4=Assumptions!B5+Assumptions!B6-1,Assumptions!B80,0)</f>
        <v>0</v>
      </c>
      <c r="O28" s="78">
        <f>IF(O4=Assumptions!B5+Assumptions!B6-1,Assumptions!B80,0)</f>
        <v>0</v>
      </c>
      <c r="P28" s="78">
        <f>IF(P4=Assumptions!B5+Assumptions!B6-1,Assumptions!B80,0)</f>
        <v>0</v>
      </c>
      <c r="Q28" s="78">
        <f>IF(Q4=Assumptions!B5+Assumptions!B6-1,Assumptions!B80,0)</f>
        <v>0</v>
      </c>
      <c r="R28" s="78">
        <f>IF(R4=Assumptions!B5+Assumptions!B6-1,Assumptions!B80,0)</f>
        <v>0</v>
      </c>
      <c r="S28" s="78">
        <f>IF(S4=Assumptions!B5+Assumptions!B6-1,Assumptions!B80,0)</f>
        <v>0</v>
      </c>
      <c r="T28" s="78">
        <f>IF(T4=Assumptions!B5+Assumptions!B6-1,Assumptions!B80,0)</f>
        <v>0</v>
      </c>
      <c r="U28" s="78">
        <f>IF(U4=Assumptions!B5+Assumptions!B6-1,Assumptions!B80,0)</f>
        <v>40</v>
      </c>
      <c r="V28" s="78">
        <f>IF(V4=Assumptions!B5+Assumptions!B6-1,Assumptions!B80,0)</f>
        <v>0</v>
      </c>
    </row>
    <row r="29" spans="1:22" ht="15" customHeight="1" x14ac:dyDescent="0.2">
      <c r="A29" s="35" t="s">
        <v>640</v>
      </c>
      <c r="B29" s="84">
        <f t="shared" ref="B29:V29" si="3">B26+B27+B28</f>
        <v>225</v>
      </c>
      <c r="C29" s="84">
        <f t="shared" si="3"/>
        <v>337.5</v>
      </c>
      <c r="D29" s="84">
        <f t="shared" si="3"/>
        <v>187.5</v>
      </c>
      <c r="E29" s="84">
        <f t="shared" si="3"/>
        <v>9.692015624999998</v>
      </c>
      <c r="F29" s="84">
        <f t="shared" si="3"/>
        <v>14.901474023437496</v>
      </c>
      <c r="G29" s="84">
        <f t="shared" si="3"/>
        <v>18.328813048828117</v>
      </c>
      <c r="H29" s="84">
        <f t="shared" si="3"/>
        <v>20.874481527832025</v>
      </c>
      <c r="I29" s="84">
        <f t="shared" si="3"/>
        <v>21.396343566027824</v>
      </c>
      <c r="J29" s="84">
        <f t="shared" si="3"/>
        <v>21.931252155178516</v>
      </c>
      <c r="K29" s="84">
        <f t="shared" si="3"/>
        <v>22.479533459057979</v>
      </c>
      <c r="L29" s="84">
        <f t="shared" si="3"/>
        <v>23.041521795534429</v>
      </c>
      <c r="M29" s="84">
        <f t="shared" si="3"/>
        <v>23.617559840422786</v>
      </c>
      <c r="N29" s="84">
        <f t="shared" si="3"/>
        <v>24.207998836433354</v>
      </c>
      <c r="O29" s="84">
        <f t="shared" si="3"/>
        <v>24.813198807344186</v>
      </c>
      <c r="P29" s="84">
        <f t="shared" si="3"/>
        <v>25.433528777527791</v>
      </c>
      <c r="Q29" s="84">
        <f t="shared" si="3"/>
        <v>26.069366996965989</v>
      </c>
      <c r="R29" s="84">
        <f t="shared" si="3"/>
        <v>26.721101171890137</v>
      </c>
      <c r="S29" s="84">
        <f t="shared" si="3"/>
        <v>27.389128701187389</v>
      </c>
      <c r="T29" s="84">
        <f t="shared" si="3"/>
        <v>28.07385691871707</v>
      </c>
      <c r="U29" s="84">
        <f t="shared" si="3"/>
        <v>68.775703341685002</v>
      </c>
      <c r="V29" s="84">
        <f t="shared" si="3"/>
        <v>0</v>
      </c>
    </row>
    <row r="31" spans="1:22" ht="15" customHeight="1" x14ac:dyDescent="0.2">
      <c r="A31" s="25" t="s">
        <v>641</v>
      </c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</row>
    <row r="32" spans="1:22" ht="15" customHeight="1" x14ac:dyDescent="0.2">
      <c r="A32" s="5" t="s">
        <v>642</v>
      </c>
      <c r="B32" s="78">
        <f>IF('Resource Depletion'!B8=1,Assumptions!B73/Assumptions!B81,0)</f>
        <v>0</v>
      </c>
      <c r="C32" s="78">
        <f>IF('Resource Depletion'!C8=1,Assumptions!B73/Assumptions!B81,0)</f>
        <v>0</v>
      </c>
      <c r="D32" s="78">
        <f>IF('Resource Depletion'!D8=1,Assumptions!B73/Assumptions!B81,0)</f>
        <v>0</v>
      </c>
      <c r="E32" s="78">
        <f>IF('Resource Depletion'!E8=1,Assumptions!B73/Assumptions!B81,0)</f>
        <v>44.117647058823529</v>
      </c>
      <c r="F32" s="78">
        <f>IF('Resource Depletion'!F8=1,Assumptions!B73/Assumptions!B81,0)</f>
        <v>44.117647058823529</v>
      </c>
      <c r="G32" s="78">
        <f>IF('Resource Depletion'!G8=1,Assumptions!B73/Assumptions!B81,0)</f>
        <v>44.117647058823529</v>
      </c>
      <c r="H32" s="78">
        <f>IF('Resource Depletion'!H8=1,Assumptions!B73/Assumptions!B81,0)</f>
        <v>44.117647058823529</v>
      </c>
      <c r="I32" s="78">
        <f>IF('Resource Depletion'!I8=1,Assumptions!B73/Assumptions!B81,0)</f>
        <v>44.117647058823529</v>
      </c>
      <c r="J32" s="78">
        <f>IF('Resource Depletion'!J8=1,Assumptions!B73/Assumptions!B81,0)</f>
        <v>44.117647058823529</v>
      </c>
      <c r="K32" s="78">
        <f>IF('Resource Depletion'!K8=1,Assumptions!B73/Assumptions!B81,0)</f>
        <v>44.117647058823529</v>
      </c>
      <c r="L32" s="78">
        <f>IF('Resource Depletion'!L8=1,Assumptions!B73/Assumptions!B81,0)</f>
        <v>44.117647058823529</v>
      </c>
      <c r="M32" s="78">
        <f>IF('Resource Depletion'!M8=1,Assumptions!B73/Assumptions!B81,0)</f>
        <v>44.117647058823529</v>
      </c>
      <c r="N32" s="78">
        <f>IF('Resource Depletion'!N8=1,Assumptions!B73/Assumptions!B81,0)</f>
        <v>44.117647058823529</v>
      </c>
      <c r="O32" s="78">
        <f>IF('Resource Depletion'!O8=1,Assumptions!B73/Assumptions!B81,0)</f>
        <v>44.117647058823529</v>
      </c>
      <c r="P32" s="78">
        <f>IF('Resource Depletion'!P8=1,Assumptions!B73/Assumptions!B81,0)</f>
        <v>44.117647058823529</v>
      </c>
      <c r="Q32" s="78">
        <f>IF('Resource Depletion'!Q8=1,Assumptions!B73/Assumptions!B81,0)</f>
        <v>44.117647058823529</v>
      </c>
      <c r="R32" s="78">
        <f>IF('Resource Depletion'!R8=1,Assumptions!B73/Assumptions!B81,0)</f>
        <v>44.117647058823529</v>
      </c>
      <c r="S32" s="78">
        <f>IF('Resource Depletion'!S8=1,Assumptions!B73/Assumptions!B81,0)</f>
        <v>44.117647058823529</v>
      </c>
      <c r="T32" s="78">
        <f>IF('Resource Depletion'!T8=1,Assumptions!B73/Assumptions!B81,0)</f>
        <v>44.117647058823529</v>
      </c>
      <c r="U32" s="78">
        <f>IF('Resource Depletion'!U8=1,Assumptions!B73/Assumptions!B81,0)</f>
        <v>44.117647058823529</v>
      </c>
      <c r="V32" s="78">
        <f>IF('Resource Depletion'!V8=1,Assumptions!B73/Assumptions!B81,0)</f>
        <v>0</v>
      </c>
    </row>
    <row r="33" spans="1:22" ht="15" customHeight="1" x14ac:dyDescent="0.2">
      <c r="A33" s="5" t="s">
        <v>643</v>
      </c>
      <c r="B33" s="78">
        <f t="shared" ref="B33:V33" si="4">B27</f>
        <v>0</v>
      </c>
      <c r="C33" s="78">
        <f t="shared" si="4"/>
        <v>0</v>
      </c>
      <c r="D33" s="78">
        <f t="shared" si="4"/>
        <v>0</v>
      </c>
      <c r="E33" s="78">
        <f t="shared" si="4"/>
        <v>9.692015624999998</v>
      </c>
      <c r="F33" s="78">
        <f t="shared" si="4"/>
        <v>14.901474023437496</v>
      </c>
      <c r="G33" s="78">
        <f t="shared" si="4"/>
        <v>18.328813048828117</v>
      </c>
      <c r="H33" s="78">
        <f t="shared" si="4"/>
        <v>20.874481527832025</v>
      </c>
      <c r="I33" s="78">
        <f t="shared" si="4"/>
        <v>21.396343566027824</v>
      </c>
      <c r="J33" s="78">
        <f t="shared" si="4"/>
        <v>21.931252155178516</v>
      </c>
      <c r="K33" s="78">
        <f t="shared" si="4"/>
        <v>22.479533459057979</v>
      </c>
      <c r="L33" s="78">
        <f t="shared" si="4"/>
        <v>23.041521795534429</v>
      </c>
      <c r="M33" s="78">
        <f t="shared" si="4"/>
        <v>23.617559840422786</v>
      </c>
      <c r="N33" s="78">
        <f t="shared" si="4"/>
        <v>24.207998836433354</v>
      </c>
      <c r="O33" s="78">
        <f t="shared" si="4"/>
        <v>24.813198807344186</v>
      </c>
      <c r="P33" s="78">
        <f t="shared" si="4"/>
        <v>25.433528777527791</v>
      </c>
      <c r="Q33" s="78">
        <f t="shared" si="4"/>
        <v>26.069366996965989</v>
      </c>
      <c r="R33" s="78">
        <f t="shared" si="4"/>
        <v>26.721101171890137</v>
      </c>
      <c r="S33" s="78">
        <f t="shared" si="4"/>
        <v>27.389128701187389</v>
      </c>
      <c r="T33" s="78">
        <f t="shared" si="4"/>
        <v>28.07385691871707</v>
      </c>
      <c r="U33" s="78">
        <f t="shared" si="4"/>
        <v>28.775703341685002</v>
      </c>
      <c r="V33" s="78">
        <f t="shared" si="4"/>
        <v>0</v>
      </c>
    </row>
    <row r="34" spans="1:22" ht="15" customHeight="1" x14ac:dyDescent="0.2">
      <c r="A34" s="5" t="s">
        <v>644</v>
      </c>
      <c r="B34" s="78">
        <f t="shared" ref="B34:V34" si="5">B32+B33</f>
        <v>0</v>
      </c>
      <c r="C34" s="78">
        <f t="shared" si="5"/>
        <v>0</v>
      </c>
      <c r="D34" s="78">
        <f t="shared" si="5"/>
        <v>0</v>
      </c>
      <c r="E34" s="78">
        <f t="shared" si="5"/>
        <v>53.809662683823525</v>
      </c>
      <c r="F34" s="78">
        <f t="shared" si="5"/>
        <v>59.019121082261023</v>
      </c>
      <c r="G34" s="78">
        <f t="shared" si="5"/>
        <v>62.446460107651646</v>
      </c>
      <c r="H34" s="78">
        <f t="shared" si="5"/>
        <v>64.992128586655554</v>
      </c>
      <c r="I34" s="78">
        <f t="shared" si="5"/>
        <v>65.513990624851346</v>
      </c>
      <c r="J34" s="78">
        <f t="shared" si="5"/>
        <v>66.048899214002049</v>
      </c>
      <c r="K34" s="78">
        <f t="shared" si="5"/>
        <v>66.597180517881512</v>
      </c>
      <c r="L34" s="78">
        <f t="shared" si="5"/>
        <v>67.159168854357958</v>
      </c>
      <c r="M34" s="78">
        <f t="shared" si="5"/>
        <v>67.735206899246322</v>
      </c>
      <c r="N34" s="78">
        <f t="shared" si="5"/>
        <v>68.325645895256883</v>
      </c>
      <c r="O34" s="78">
        <f t="shared" si="5"/>
        <v>68.930845866167715</v>
      </c>
      <c r="P34" s="78">
        <f t="shared" si="5"/>
        <v>69.55117583635132</v>
      </c>
      <c r="Q34" s="78">
        <f t="shared" si="5"/>
        <v>70.187014055789518</v>
      </c>
      <c r="R34" s="78">
        <f t="shared" si="5"/>
        <v>70.838748230713662</v>
      </c>
      <c r="S34" s="78">
        <f t="shared" si="5"/>
        <v>71.506775760010925</v>
      </c>
      <c r="T34" s="78">
        <f t="shared" si="5"/>
        <v>72.191503977540606</v>
      </c>
      <c r="U34" s="78">
        <f t="shared" si="5"/>
        <v>72.893350400508524</v>
      </c>
      <c r="V34" s="78">
        <f t="shared" si="5"/>
        <v>0</v>
      </c>
    </row>
    <row r="35" spans="1:22" ht="15" customHeight="1" x14ac:dyDescent="0.2">
      <c r="A35" s="5" t="s">
        <v>645</v>
      </c>
      <c r="B35" s="78">
        <f t="shared" ref="B35:V35" si="6">MAX(0,B23-B34)</f>
        <v>0</v>
      </c>
      <c r="C35" s="78">
        <f t="shared" si="6"/>
        <v>0</v>
      </c>
      <c r="D35" s="78">
        <f t="shared" si="6"/>
        <v>0</v>
      </c>
      <c r="E35" s="78">
        <f t="shared" si="6"/>
        <v>101.18571025668925</v>
      </c>
      <c r="F35" s="78">
        <f t="shared" si="6"/>
        <v>173.26171095694528</v>
      </c>
      <c r="G35" s="78">
        <f t="shared" si="6"/>
        <v>215.99588078035305</v>
      </c>
      <c r="H35" s="78">
        <f t="shared" si="6"/>
        <v>244.01456768014975</v>
      </c>
      <c r="I35" s="78">
        <f t="shared" si="6"/>
        <v>243.07081879869227</v>
      </c>
      <c r="J35" s="78">
        <f t="shared" si="6"/>
        <v>296.57746929489792</v>
      </c>
      <c r="K35" s="78">
        <f t="shared" si="6"/>
        <v>301.52721518878235</v>
      </c>
      <c r="L35" s="78">
        <f t="shared" si="6"/>
        <v>306.52935208971451</v>
      </c>
      <c r="M35" s="78">
        <f t="shared" si="6"/>
        <v>311.58376272006478</v>
      </c>
      <c r="N35" s="78">
        <f t="shared" si="6"/>
        <v>316.69029832920671</v>
      </c>
      <c r="O35" s="78">
        <f t="shared" si="6"/>
        <v>321.84877733587041</v>
      </c>
      <c r="P35" s="78">
        <f t="shared" si="6"/>
        <v>327.05898392514024</v>
      </c>
      <c r="Q35" s="78">
        <f t="shared" si="6"/>
        <v>332.32066659872947</v>
      </c>
      <c r="R35" s="78">
        <f t="shared" si="6"/>
        <v>337.63353667713852</v>
      </c>
      <c r="S35" s="78">
        <f t="shared" si="6"/>
        <v>342.99726675224736</v>
      </c>
      <c r="T35" s="78">
        <f t="shared" si="6"/>
        <v>348.41148908886771</v>
      </c>
      <c r="U35" s="78">
        <f t="shared" si="6"/>
        <v>353.87579397373042</v>
      </c>
      <c r="V35" s="78">
        <f t="shared" si="6"/>
        <v>0</v>
      </c>
    </row>
    <row r="36" spans="1:22" ht="15" customHeight="1" x14ac:dyDescent="0.2">
      <c r="A36" s="5" t="s">
        <v>646</v>
      </c>
      <c r="B36" s="78">
        <f>B35*Assumptions!B9</f>
        <v>0</v>
      </c>
      <c r="C36" s="78">
        <f>C35*Assumptions!B9</f>
        <v>0</v>
      </c>
      <c r="D36" s="78">
        <f>D35*Assumptions!B9</f>
        <v>0</v>
      </c>
      <c r="E36" s="78">
        <f>E35*Assumptions!B9</f>
        <v>28.331998871872994</v>
      </c>
      <c r="F36" s="78">
        <f>F35*Assumptions!B9</f>
        <v>48.51327906794468</v>
      </c>
      <c r="G36" s="78">
        <f>G35*Assumptions!B9</f>
        <v>60.478846618498856</v>
      </c>
      <c r="H36" s="78">
        <f>H35*Assumptions!B9</f>
        <v>68.324078950441944</v>
      </c>
      <c r="I36" s="78">
        <f>I35*Assumptions!B9</f>
        <v>68.059829263633844</v>
      </c>
      <c r="J36" s="78">
        <f>J35*Assumptions!B9</f>
        <v>83.041691402571431</v>
      </c>
      <c r="K36" s="78">
        <f>K35*Assumptions!B9</f>
        <v>84.427620252859072</v>
      </c>
      <c r="L36" s="78">
        <f>L35*Assumptions!B9</f>
        <v>85.828218585120069</v>
      </c>
      <c r="M36" s="78">
        <f>M35*Assumptions!B9</f>
        <v>87.243453561618153</v>
      </c>
      <c r="N36" s="78">
        <f>N35*Assumptions!B9</f>
        <v>88.673283532177891</v>
      </c>
      <c r="O36" s="78">
        <f>O35*Assumptions!B9</f>
        <v>90.117657654043725</v>
      </c>
      <c r="P36" s="78">
        <f>P35*Assumptions!B9</f>
        <v>91.576515499039274</v>
      </c>
      <c r="Q36" s="78">
        <f>Q35*Assumptions!B9</f>
        <v>93.049786647644268</v>
      </c>
      <c r="R36" s="78">
        <f>R35*Assumptions!B9</f>
        <v>94.537390269598802</v>
      </c>
      <c r="S36" s="78">
        <f>S35*Assumptions!B9</f>
        <v>96.039234690629272</v>
      </c>
      <c r="T36" s="78">
        <f>T35*Assumptions!B9</f>
        <v>97.555216944882972</v>
      </c>
      <c r="U36" s="78">
        <f>U35*Assumptions!B9</f>
        <v>99.085222312644532</v>
      </c>
      <c r="V36" s="78">
        <f>V35*Assumptions!B9</f>
        <v>0</v>
      </c>
    </row>
    <row r="38" spans="1:22" ht="15" customHeight="1" x14ac:dyDescent="0.2">
      <c r="A38" s="25" t="s">
        <v>109</v>
      </c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</row>
    <row r="39" spans="1:22" ht="15" customHeight="1" x14ac:dyDescent="0.2">
      <c r="A39" s="5" t="s">
        <v>647</v>
      </c>
      <c r="B39" s="78">
        <f>'Working Capital'!B37</f>
        <v>0</v>
      </c>
      <c r="C39" s="78">
        <f>'Working Capital'!C37</f>
        <v>0</v>
      </c>
      <c r="D39" s="78">
        <f>'Working Capital'!D37</f>
        <v>0</v>
      </c>
      <c r="E39" s="78">
        <f>'Working Capital'!E37</f>
        <v>75.644983982696914</v>
      </c>
      <c r="F39" s="78">
        <f>'Working Capital'!F37</f>
        <v>115.18109959264257</v>
      </c>
      <c r="G39" s="78">
        <f>'Working Capital'!G37</f>
        <v>116.93234142051247</v>
      </c>
      <c r="H39" s="78">
        <f>'Working Capital'!H37</f>
        <v>131.91337496140326</v>
      </c>
      <c r="I39" s="78">
        <f>'Working Capital'!I37</f>
        <v>133.94560282859965</v>
      </c>
      <c r="J39" s="78">
        <f>'Working Capital'!J37</f>
        <v>144.49091465962312</v>
      </c>
      <c r="K39" s="78">
        <f>'Working Capital'!K37</f>
        <v>147.54897269537588</v>
      </c>
      <c r="L39" s="78">
        <f>'Working Capital'!L37</f>
        <v>150.67239788540766</v>
      </c>
      <c r="M39" s="78">
        <f>'Working Capital'!M37</f>
        <v>153.86260272264317</v>
      </c>
      <c r="N39" s="78">
        <f>'Working Capital'!N37</f>
        <v>157.12103057861162</v>
      </c>
      <c r="O39" s="78">
        <f>'Working Capital'!O37</f>
        <v>160.44915638673731</v>
      </c>
      <c r="P39" s="78">
        <f>'Working Capital'!P37</f>
        <v>163.84848734093936</v>
      </c>
      <c r="Q39" s="78">
        <f>'Working Capital'!Q37</f>
        <v>167.32056360988716</v>
      </c>
      <c r="R39" s="78">
        <f>'Working Capital'!R37</f>
        <v>170.86695906726709</v>
      </c>
      <c r="S39" s="78">
        <f>'Working Capital'!S37</f>
        <v>174.48928203842414</v>
      </c>
      <c r="T39" s="78">
        <f>'Working Capital'!T37</f>
        <v>178.1891760637497</v>
      </c>
      <c r="U39" s="78">
        <f>'Working Capital'!U37</f>
        <v>181.96832067919564</v>
      </c>
      <c r="V39" s="78">
        <f>'Working Capital'!V37</f>
        <v>0</v>
      </c>
    </row>
    <row r="40" spans="1:22" ht="15" customHeight="1" x14ac:dyDescent="0.2">
      <c r="A40" s="5" t="s">
        <v>648</v>
      </c>
      <c r="B40" s="78">
        <f>-'Working Capital'!B45</f>
        <v>0</v>
      </c>
      <c r="C40" s="78">
        <f>-'Working Capital'!C45</f>
        <v>0</v>
      </c>
      <c r="D40" s="78">
        <f>-'Working Capital'!D45</f>
        <v>0</v>
      </c>
      <c r="E40" s="78">
        <f>-'Working Capital'!E45</f>
        <v>75.644983982696914</v>
      </c>
      <c r="F40" s="78">
        <f>-'Working Capital'!F45</f>
        <v>39.536115609945661</v>
      </c>
      <c r="G40" s="78">
        <f>-'Working Capital'!G45</f>
        <v>1.751241827869876</v>
      </c>
      <c r="H40" s="78">
        <f>-'Working Capital'!H45</f>
        <v>14.98103354089082</v>
      </c>
      <c r="I40" s="78">
        <f>-'Working Capital'!I45</f>
        <v>2.0322278671963687</v>
      </c>
      <c r="J40" s="78">
        <f>-'Working Capital'!J45</f>
        <v>10.545311831023483</v>
      </c>
      <c r="K40" s="78">
        <f>-'Working Capital'!K45</f>
        <v>3.0580580357527509</v>
      </c>
      <c r="L40" s="78">
        <f>-'Working Capital'!L45</f>
        <v>3.1234251900317815</v>
      </c>
      <c r="M40" s="78">
        <f>-'Working Capital'!M45</f>
        <v>3.1902048372354983</v>
      </c>
      <c r="N40" s="78">
        <f>-'Working Capital'!N45</f>
        <v>3.2584278559684776</v>
      </c>
      <c r="O40" s="78">
        <f>-'Working Capital'!O45</f>
        <v>3.3281258081256766</v>
      </c>
      <c r="P40" s="78">
        <f>-'Working Capital'!P45</f>
        <v>3.3993309542020427</v>
      </c>
      <c r="Q40" s="78">
        <f>-'Working Capital'!Q45</f>
        <v>3.4720762689477738</v>
      </c>
      <c r="R40" s="78">
        <f>-'Working Capital'!R45</f>
        <v>3.5463954573799725</v>
      </c>
      <c r="S40" s="78">
        <f>-'Working Capital'!S45</f>
        <v>3.6223229711570326</v>
      </c>
      <c r="T40" s="78">
        <f>-'Working Capital'!T45</f>
        <v>3.6998940253255626</v>
      </c>
      <c r="U40" s="78">
        <f>-'Working Capital'!U45</f>
        <v>3.7791446154459578</v>
      </c>
      <c r="V40" s="78">
        <f>-'Working Capital'!V45</f>
        <v>-181.96832067919564</v>
      </c>
    </row>
    <row r="42" spans="1:22" ht="15" customHeight="1" x14ac:dyDescent="0.2">
      <c r="A42" s="3" t="s">
        <v>649</v>
      </c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</row>
    <row r="43" spans="1:22" ht="15" customHeight="1" x14ac:dyDescent="0.2">
      <c r="A43" s="5" t="s">
        <v>650</v>
      </c>
      <c r="B43" s="78">
        <f t="shared" ref="B43:V43" si="7">B23</f>
        <v>0</v>
      </c>
      <c r="C43" s="78">
        <f t="shared" si="7"/>
        <v>0</v>
      </c>
      <c r="D43" s="78">
        <f t="shared" si="7"/>
        <v>0</v>
      </c>
      <c r="E43" s="78">
        <f t="shared" si="7"/>
        <v>154.99537294051277</v>
      </c>
      <c r="F43" s="78">
        <f t="shared" si="7"/>
        <v>232.2808320392063</v>
      </c>
      <c r="G43" s="78">
        <f t="shared" si="7"/>
        <v>278.44234088800471</v>
      </c>
      <c r="H43" s="78">
        <f t="shared" si="7"/>
        <v>309.00669626680531</v>
      </c>
      <c r="I43" s="78">
        <f t="shared" si="7"/>
        <v>308.58480942354362</v>
      </c>
      <c r="J43" s="78">
        <f t="shared" si="7"/>
        <v>362.62636850889999</v>
      </c>
      <c r="K43" s="78">
        <f t="shared" si="7"/>
        <v>368.12439570666385</v>
      </c>
      <c r="L43" s="78">
        <f t="shared" si="7"/>
        <v>373.68852094407248</v>
      </c>
      <c r="M43" s="78">
        <f t="shared" si="7"/>
        <v>379.31896961931113</v>
      </c>
      <c r="N43" s="78">
        <f t="shared" si="7"/>
        <v>385.01594422446362</v>
      </c>
      <c r="O43" s="78">
        <f t="shared" si="7"/>
        <v>390.77962320203812</v>
      </c>
      <c r="P43" s="78">
        <f t="shared" si="7"/>
        <v>396.61015976149156</v>
      </c>
      <c r="Q43" s="78">
        <f t="shared" si="7"/>
        <v>402.50768065451899</v>
      </c>
      <c r="R43" s="78">
        <f t="shared" si="7"/>
        <v>408.47228490785216</v>
      </c>
      <c r="S43" s="78">
        <f t="shared" si="7"/>
        <v>414.50404251225825</v>
      </c>
      <c r="T43" s="78">
        <f t="shared" si="7"/>
        <v>420.60299306640832</v>
      </c>
      <c r="U43" s="78">
        <f t="shared" si="7"/>
        <v>426.76914437423892</v>
      </c>
      <c r="V43" s="78">
        <f t="shared" si="7"/>
        <v>0</v>
      </c>
    </row>
    <row r="44" spans="1:22" ht="15" customHeight="1" x14ac:dyDescent="0.2">
      <c r="A44" s="5" t="s">
        <v>651</v>
      </c>
      <c r="B44" s="78">
        <f t="shared" ref="B44:V44" si="8">-1*B36</f>
        <v>0</v>
      </c>
      <c r="C44" s="78">
        <f t="shared" si="8"/>
        <v>0</v>
      </c>
      <c r="D44" s="78">
        <f t="shared" si="8"/>
        <v>0</v>
      </c>
      <c r="E44" s="78">
        <f t="shared" si="8"/>
        <v>-28.331998871872994</v>
      </c>
      <c r="F44" s="78">
        <f t="shared" si="8"/>
        <v>-48.51327906794468</v>
      </c>
      <c r="G44" s="78">
        <f t="shared" si="8"/>
        <v>-60.478846618498856</v>
      </c>
      <c r="H44" s="78">
        <f t="shared" si="8"/>
        <v>-68.324078950441944</v>
      </c>
      <c r="I44" s="78">
        <f t="shared" si="8"/>
        <v>-68.059829263633844</v>
      </c>
      <c r="J44" s="78">
        <f t="shared" si="8"/>
        <v>-83.041691402571431</v>
      </c>
      <c r="K44" s="78">
        <f t="shared" si="8"/>
        <v>-84.427620252859072</v>
      </c>
      <c r="L44" s="78">
        <f t="shared" si="8"/>
        <v>-85.828218585120069</v>
      </c>
      <c r="M44" s="78">
        <f t="shared" si="8"/>
        <v>-87.243453561618153</v>
      </c>
      <c r="N44" s="78">
        <f t="shared" si="8"/>
        <v>-88.673283532177891</v>
      </c>
      <c r="O44" s="78">
        <f t="shared" si="8"/>
        <v>-90.117657654043725</v>
      </c>
      <c r="P44" s="78">
        <f t="shared" si="8"/>
        <v>-91.576515499039274</v>
      </c>
      <c r="Q44" s="78">
        <f t="shared" si="8"/>
        <v>-93.049786647644268</v>
      </c>
      <c r="R44" s="78">
        <f t="shared" si="8"/>
        <v>-94.537390269598802</v>
      </c>
      <c r="S44" s="78">
        <f t="shared" si="8"/>
        <v>-96.039234690629272</v>
      </c>
      <c r="T44" s="78">
        <f t="shared" si="8"/>
        <v>-97.555216944882972</v>
      </c>
      <c r="U44" s="78">
        <f t="shared" si="8"/>
        <v>-99.085222312644532</v>
      </c>
      <c r="V44" s="78">
        <f t="shared" si="8"/>
        <v>0</v>
      </c>
    </row>
    <row r="45" spans="1:22" ht="15" customHeight="1" x14ac:dyDescent="0.2">
      <c r="A45" s="5" t="s">
        <v>652</v>
      </c>
      <c r="B45" s="78">
        <f t="shared" ref="B45:V45" si="9">-1*B29</f>
        <v>-225</v>
      </c>
      <c r="C45" s="78">
        <f t="shared" si="9"/>
        <v>-337.5</v>
      </c>
      <c r="D45" s="78">
        <f t="shared" si="9"/>
        <v>-187.5</v>
      </c>
      <c r="E45" s="78">
        <f t="shared" si="9"/>
        <v>-9.692015624999998</v>
      </c>
      <c r="F45" s="78">
        <f t="shared" si="9"/>
        <v>-14.901474023437496</v>
      </c>
      <c r="G45" s="78">
        <f t="shared" si="9"/>
        <v>-18.328813048828117</v>
      </c>
      <c r="H45" s="78">
        <f t="shared" si="9"/>
        <v>-20.874481527832025</v>
      </c>
      <c r="I45" s="78">
        <f t="shared" si="9"/>
        <v>-21.396343566027824</v>
      </c>
      <c r="J45" s="78">
        <f t="shared" si="9"/>
        <v>-21.931252155178516</v>
      </c>
      <c r="K45" s="78">
        <f t="shared" si="9"/>
        <v>-22.479533459057979</v>
      </c>
      <c r="L45" s="78">
        <f t="shared" si="9"/>
        <v>-23.041521795534429</v>
      </c>
      <c r="M45" s="78">
        <f t="shared" si="9"/>
        <v>-23.617559840422786</v>
      </c>
      <c r="N45" s="78">
        <f t="shared" si="9"/>
        <v>-24.207998836433354</v>
      </c>
      <c r="O45" s="78">
        <f t="shared" si="9"/>
        <v>-24.813198807344186</v>
      </c>
      <c r="P45" s="78">
        <f t="shared" si="9"/>
        <v>-25.433528777527791</v>
      </c>
      <c r="Q45" s="78">
        <f t="shared" si="9"/>
        <v>-26.069366996965989</v>
      </c>
      <c r="R45" s="78">
        <f t="shared" si="9"/>
        <v>-26.721101171890137</v>
      </c>
      <c r="S45" s="78">
        <f t="shared" si="9"/>
        <v>-27.389128701187389</v>
      </c>
      <c r="T45" s="78">
        <f t="shared" si="9"/>
        <v>-28.07385691871707</v>
      </c>
      <c r="U45" s="78">
        <f t="shared" si="9"/>
        <v>-68.775703341685002</v>
      </c>
      <c r="V45" s="78">
        <f t="shared" si="9"/>
        <v>0</v>
      </c>
    </row>
    <row r="46" spans="1:22" ht="15" customHeight="1" x14ac:dyDescent="0.2">
      <c r="A46" s="5" t="s">
        <v>653</v>
      </c>
      <c r="B46" s="78">
        <f t="shared" ref="B46:V46" si="10">-1*B40</f>
        <v>0</v>
      </c>
      <c r="C46" s="78">
        <f t="shared" si="10"/>
        <v>0</v>
      </c>
      <c r="D46" s="78">
        <f t="shared" si="10"/>
        <v>0</v>
      </c>
      <c r="E46" s="78">
        <f t="shared" si="10"/>
        <v>-75.644983982696914</v>
      </c>
      <c r="F46" s="78">
        <f t="shared" si="10"/>
        <v>-39.536115609945661</v>
      </c>
      <c r="G46" s="78">
        <f t="shared" si="10"/>
        <v>-1.751241827869876</v>
      </c>
      <c r="H46" s="78">
        <f t="shared" si="10"/>
        <v>-14.98103354089082</v>
      </c>
      <c r="I46" s="78">
        <f t="shared" si="10"/>
        <v>-2.0322278671963687</v>
      </c>
      <c r="J46" s="78">
        <f t="shared" si="10"/>
        <v>-10.545311831023483</v>
      </c>
      <c r="K46" s="78">
        <f t="shared" si="10"/>
        <v>-3.0580580357527509</v>
      </c>
      <c r="L46" s="78">
        <f t="shared" si="10"/>
        <v>-3.1234251900317815</v>
      </c>
      <c r="M46" s="78">
        <f t="shared" si="10"/>
        <v>-3.1902048372354983</v>
      </c>
      <c r="N46" s="78">
        <f t="shared" si="10"/>
        <v>-3.2584278559684776</v>
      </c>
      <c r="O46" s="78">
        <f t="shared" si="10"/>
        <v>-3.3281258081256766</v>
      </c>
      <c r="P46" s="78">
        <f t="shared" si="10"/>
        <v>-3.3993309542020427</v>
      </c>
      <c r="Q46" s="78">
        <f t="shared" si="10"/>
        <v>-3.4720762689477738</v>
      </c>
      <c r="R46" s="78">
        <f t="shared" si="10"/>
        <v>-3.5463954573799725</v>
      </c>
      <c r="S46" s="78">
        <f t="shared" si="10"/>
        <v>-3.6223229711570326</v>
      </c>
      <c r="T46" s="78">
        <f t="shared" si="10"/>
        <v>-3.6998940253255626</v>
      </c>
      <c r="U46" s="78">
        <f t="shared" si="10"/>
        <v>-3.7791446154459578</v>
      </c>
      <c r="V46" s="78">
        <f t="shared" si="10"/>
        <v>181.96832067919564</v>
      </c>
    </row>
    <row r="47" spans="1:22" ht="15" customHeight="1" x14ac:dyDescent="0.2">
      <c r="A47" s="5" t="s">
        <v>654</v>
      </c>
      <c r="B47" s="78">
        <f>'Working Capital'!B47</f>
        <v>0</v>
      </c>
      <c r="C47" s="78">
        <f>'Working Capital'!C47</f>
        <v>0</v>
      </c>
      <c r="D47" s="78">
        <f>'Working Capital'!D47</f>
        <v>0</v>
      </c>
      <c r="E47" s="78">
        <f>'Working Capital'!E47</f>
        <v>0</v>
      </c>
      <c r="F47" s="78">
        <f>'Working Capital'!F47</f>
        <v>0</v>
      </c>
      <c r="G47" s="78">
        <f>'Working Capital'!G47</f>
        <v>0</v>
      </c>
      <c r="H47" s="78">
        <f>'Working Capital'!H47</f>
        <v>0</v>
      </c>
      <c r="I47" s="78">
        <f>'Working Capital'!I47</f>
        <v>0</v>
      </c>
      <c r="J47" s="78">
        <f>'Working Capital'!J47</f>
        <v>0</v>
      </c>
      <c r="K47" s="78">
        <f>'Working Capital'!K47</f>
        <v>0</v>
      </c>
      <c r="L47" s="78">
        <f>'Working Capital'!L47</f>
        <v>0</v>
      </c>
      <c r="M47" s="78">
        <f>'Working Capital'!M47</f>
        <v>0</v>
      </c>
      <c r="N47" s="78">
        <f>'Working Capital'!N47</f>
        <v>0</v>
      </c>
      <c r="O47" s="78">
        <f>'Working Capital'!O47</f>
        <v>0</v>
      </c>
      <c r="P47" s="78">
        <f>'Working Capital'!P47</f>
        <v>0</v>
      </c>
      <c r="Q47" s="78">
        <f>'Working Capital'!Q47</f>
        <v>0</v>
      </c>
      <c r="R47" s="78">
        <f>'Working Capital'!R47</f>
        <v>0</v>
      </c>
      <c r="S47" s="78">
        <f>'Working Capital'!S47</f>
        <v>0</v>
      </c>
      <c r="T47" s="78">
        <f>'Working Capital'!T47</f>
        <v>0</v>
      </c>
      <c r="U47" s="78">
        <f>'Working Capital'!U47</f>
        <v>0</v>
      </c>
      <c r="V47" s="78">
        <f>'Working Capital'!V47</f>
        <v>0</v>
      </c>
    </row>
    <row r="48" spans="1:22" ht="15" customHeight="1" x14ac:dyDescent="0.2">
      <c r="A48" s="35" t="s">
        <v>620</v>
      </c>
      <c r="B48" s="87">
        <f t="shared" ref="B48:V48" si="11">SUM(B43:B47)</f>
        <v>-225</v>
      </c>
      <c r="C48" s="87">
        <f t="shared" si="11"/>
        <v>-337.5</v>
      </c>
      <c r="D48" s="87">
        <f t="shared" si="11"/>
        <v>-187.5</v>
      </c>
      <c r="E48" s="87">
        <f t="shared" si="11"/>
        <v>41.326374460942858</v>
      </c>
      <c r="F48" s="87">
        <f t="shared" si="11"/>
        <v>129.3299633378785</v>
      </c>
      <c r="G48" s="87">
        <f t="shared" si="11"/>
        <v>197.88343939280784</v>
      </c>
      <c r="H48" s="87">
        <f t="shared" si="11"/>
        <v>204.82710224764051</v>
      </c>
      <c r="I48" s="87">
        <f t="shared" si="11"/>
        <v>217.09640872668558</v>
      </c>
      <c r="J48" s="87">
        <f t="shared" si="11"/>
        <v>247.10811312012657</v>
      </c>
      <c r="K48" s="87">
        <f t="shared" si="11"/>
        <v>258.15918395899405</v>
      </c>
      <c r="L48" s="87">
        <f t="shared" si="11"/>
        <v>261.69535537338618</v>
      </c>
      <c r="M48" s="87">
        <f t="shared" si="11"/>
        <v>265.26775138003467</v>
      </c>
      <c r="N48" s="87">
        <f t="shared" si="11"/>
        <v>268.87623399988388</v>
      </c>
      <c r="O48" s="87">
        <f t="shared" si="11"/>
        <v>272.52064093252454</v>
      </c>
      <c r="P48" s="87">
        <f t="shared" si="11"/>
        <v>276.20078453072244</v>
      </c>
      <c r="Q48" s="87">
        <f t="shared" si="11"/>
        <v>279.91645074096095</v>
      </c>
      <c r="R48" s="87">
        <f t="shared" si="11"/>
        <v>283.66739800898324</v>
      </c>
      <c r="S48" s="87">
        <f t="shared" si="11"/>
        <v>287.45335614928456</v>
      </c>
      <c r="T48" s="87">
        <f t="shared" si="11"/>
        <v>291.27402517748271</v>
      </c>
      <c r="U48" s="87">
        <f t="shared" si="11"/>
        <v>255.12907410446343</v>
      </c>
      <c r="V48" s="87">
        <f t="shared" si="11"/>
        <v>181.96832067919564</v>
      </c>
    </row>
    <row r="49" spans="1:22" ht="15" customHeight="1" x14ac:dyDescent="0.2">
      <c r="A49" s="5" t="s">
        <v>655</v>
      </c>
      <c r="B49" s="78">
        <f>B48</f>
        <v>-225</v>
      </c>
      <c r="C49" s="78">
        <f t="shared" ref="C49:V49" si="12">B49+C48</f>
        <v>-562.5</v>
      </c>
      <c r="D49" s="78">
        <f t="shared" si="12"/>
        <v>-750</v>
      </c>
      <c r="E49" s="78">
        <f t="shared" si="12"/>
        <v>-708.67362553905718</v>
      </c>
      <c r="F49" s="78">
        <f t="shared" si="12"/>
        <v>-579.34366220117863</v>
      </c>
      <c r="G49" s="78">
        <f t="shared" si="12"/>
        <v>-381.46022280837076</v>
      </c>
      <c r="H49" s="78">
        <f t="shared" si="12"/>
        <v>-176.63312056073025</v>
      </c>
      <c r="I49" s="78">
        <f t="shared" si="12"/>
        <v>40.463288165955333</v>
      </c>
      <c r="J49" s="78">
        <f t="shared" si="12"/>
        <v>287.57140128608194</v>
      </c>
      <c r="K49" s="78">
        <f t="shared" si="12"/>
        <v>545.73058524507599</v>
      </c>
      <c r="L49" s="78">
        <f t="shared" si="12"/>
        <v>807.42594061846216</v>
      </c>
      <c r="M49" s="78">
        <f t="shared" si="12"/>
        <v>1072.6936919984969</v>
      </c>
      <c r="N49" s="78">
        <f t="shared" si="12"/>
        <v>1341.5699259983808</v>
      </c>
      <c r="O49" s="78">
        <f t="shared" si="12"/>
        <v>1614.0905669309054</v>
      </c>
      <c r="P49" s="78">
        <f t="shared" si="12"/>
        <v>1890.291351461628</v>
      </c>
      <c r="Q49" s="78">
        <f t="shared" si="12"/>
        <v>2170.2078022025889</v>
      </c>
      <c r="R49" s="78">
        <f t="shared" si="12"/>
        <v>2453.8752002115721</v>
      </c>
      <c r="S49" s="78">
        <f t="shared" si="12"/>
        <v>2741.3285563608565</v>
      </c>
      <c r="T49" s="78">
        <f t="shared" si="12"/>
        <v>3032.6025815383391</v>
      </c>
      <c r="U49" s="78">
        <f t="shared" si="12"/>
        <v>3287.7316556428027</v>
      </c>
      <c r="V49" s="78">
        <f t="shared" si="12"/>
        <v>3469.6999763219983</v>
      </c>
    </row>
    <row r="51" spans="1:22" ht="15" customHeight="1" x14ac:dyDescent="0.2">
      <c r="A51" s="3" t="s">
        <v>656</v>
      </c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</row>
    <row r="52" spans="1:22" ht="15" customHeight="1" x14ac:dyDescent="0.2">
      <c r="A52" s="35" t="s">
        <v>657</v>
      </c>
      <c r="B52" s="92">
        <f>NPV(Assumptions!B7,C48:V48)+B48</f>
        <v>745.24434436740285</v>
      </c>
    </row>
    <row r="53" spans="1:22" ht="15" customHeight="1" x14ac:dyDescent="0.2">
      <c r="A53" s="35" t="s">
        <v>658</v>
      </c>
      <c r="B53" s="93">
        <f>IRR(B48:V48)</f>
        <v>0.19789545291325461</v>
      </c>
    </row>
    <row r="54" spans="1:22" ht="15" customHeight="1" x14ac:dyDescent="0.2">
      <c r="A54" s="35" t="s">
        <v>659</v>
      </c>
      <c r="B54" s="36">
        <f>COUNTIF(B49:V49,"&lt;0")</f>
        <v>7</v>
      </c>
    </row>
  </sheetData>
  <pageMargins left="0.75" right="0.75" top="1" bottom="1" header="0.511811023622047" footer="0.511811023622047"/>
  <pageSetup paperSize="9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F0"/>
  </sheetPr>
  <dimension ref="A1:V50"/>
  <sheetViews>
    <sheetView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baseColWidth="10" defaultColWidth="8.6640625" defaultRowHeight="15" x14ac:dyDescent="0.2"/>
  <cols>
    <col min="1" max="1" width="46" customWidth="1"/>
    <col min="2" max="22" width="14" customWidth="1"/>
  </cols>
  <sheetData>
    <row r="1" spans="1:22" ht="17.25" customHeight="1" x14ac:dyDescent="0.2">
      <c r="A1" s="2" t="s">
        <v>660</v>
      </c>
    </row>
    <row r="3" spans="1:22" ht="15" customHeight="1" x14ac:dyDescent="0.2">
      <c r="A3" s="39" t="s">
        <v>535</v>
      </c>
      <c r="B3" s="69">
        <f>Assumptions!B4+0</f>
        <v>2025</v>
      </c>
      <c r="C3" s="69">
        <f>Assumptions!B4+1</f>
        <v>2026</v>
      </c>
      <c r="D3" s="69">
        <f>Assumptions!B4+2</f>
        <v>2027</v>
      </c>
      <c r="E3" s="69">
        <f>Assumptions!B4+3</f>
        <v>2028</v>
      </c>
      <c r="F3" s="69">
        <f>Assumptions!B4+4</f>
        <v>2029</v>
      </c>
      <c r="G3" s="69">
        <f>Assumptions!B4+5</f>
        <v>2030</v>
      </c>
      <c r="H3" s="69">
        <f>Assumptions!B4+6</f>
        <v>2031</v>
      </c>
      <c r="I3" s="69">
        <f>Assumptions!B4+7</f>
        <v>2032</v>
      </c>
      <c r="J3" s="69">
        <f>Assumptions!B4+8</f>
        <v>2033</v>
      </c>
      <c r="K3" s="69">
        <f>Assumptions!B4+9</f>
        <v>2034</v>
      </c>
      <c r="L3" s="69">
        <f>Assumptions!B4+10</f>
        <v>2035</v>
      </c>
      <c r="M3" s="69">
        <f>Assumptions!B4+11</f>
        <v>2036</v>
      </c>
      <c r="N3" s="69">
        <f>Assumptions!B4+12</f>
        <v>2037</v>
      </c>
      <c r="O3" s="69">
        <f>Assumptions!B4+13</f>
        <v>2038</v>
      </c>
      <c r="P3" s="69">
        <f>Assumptions!B4+14</f>
        <v>2039</v>
      </c>
      <c r="Q3" s="69">
        <f>Assumptions!B4+15</f>
        <v>2040</v>
      </c>
      <c r="R3" s="69">
        <f>Assumptions!B4+16</f>
        <v>2041</v>
      </c>
      <c r="S3" s="69">
        <f>Assumptions!B4+17</f>
        <v>2042</v>
      </c>
      <c r="T3" s="69">
        <f>Assumptions!B4+18</f>
        <v>2043</v>
      </c>
      <c r="U3" s="69">
        <f>Assumptions!B4+19</f>
        <v>2044</v>
      </c>
      <c r="V3" s="69">
        <f>Assumptions!B4+20</f>
        <v>2045</v>
      </c>
    </row>
    <row r="4" spans="1:22" ht="15" customHeight="1" x14ac:dyDescent="0.2">
      <c r="A4" s="7" t="s">
        <v>536</v>
      </c>
      <c r="B4" s="70">
        <v>0</v>
      </c>
      <c r="C4" s="70">
        <v>1</v>
      </c>
      <c r="D4" s="70">
        <v>2</v>
      </c>
      <c r="E4" s="70">
        <v>3</v>
      </c>
      <c r="F4" s="70">
        <v>4</v>
      </c>
      <c r="G4" s="70">
        <v>5</v>
      </c>
      <c r="H4" s="70">
        <v>6</v>
      </c>
      <c r="I4" s="70">
        <v>7</v>
      </c>
      <c r="J4" s="70">
        <v>8</v>
      </c>
      <c r="K4" s="70">
        <v>9</v>
      </c>
      <c r="L4" s="70">
        <v>10</v>
      </c>
      <c r="M4" s="70">
        <v>11</v>
      </c>
      <c r="N4" s="70">
        <v>12</v>
      </c>
      <c r="O4" s="70">
        <v>13</v>
      </c>
      <c r="P4" s="70">
        <v>14</v>
      </c>
      <c r="Q4" s="70">
        <v>15</v>
      </c>
      <c r="R4" s="70">
        <v>16</v>
      </c>
      <c r="S4" s="70">
        <v>17</v>
      </c>
      <c r="T4" s="70">
        <v>18</v>
      </c>
      <c r="U4" s="70">
        <v>19</v>
      </c>
      <c r="V4" s="70">
        <v>20</v>
      </c>
    </row>
    <row r="6" spans="1:22" ht="15" customHeight="1" x14ac:dyDescent="0.2">
      <c r="A6" s="33" t="s">
        <v>661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</row>
    <row r="7" spans="1:22" ht="15" customHeight="1" x14ac:dyDescent="0.2">
      <c r="A7" s="5" t="s">
        <v>539</v>
      </c>
      <c r="B7" s="94">
        <f>'Resource Depletion'!B8</f>
        <v>0</v>
      </c>
      <c r="C7" s="94">
        <f>'Resource Depletion'!C8</f>
        <v>0</v>
      </c>
      <c r="D7" s="94">
        <f>'Resource Depletion'!D8</f>
        <v>0</v>
      </c>
      <c r="E7" s="94">
        <f>'Resource Depletion'!E8</f>
        <v>1</v>
      </c>
      <c r="F7" s="94">
        <f>'Resource Depletion'!F8</f>
        <v>1</v>
      </c>
      <c r="G7" s="94">
        <f>'Resource Depletion'!G8</f>
        <v>1</v>
      </c>
      <c r="H7" s="94">
        <f>'Resource Depletion'!H8</f>
        <v>1</v>
      </c>
      <c r="I7" s="94">
        <f>'Resource Depletion'!I8</f>
        <v>1</v>
      </c>
      <c r="J7" s="94">
        <f>'Resource Depletion'!J8</f>
        <v>1</v>
      </c>
      <c r="K7" s="94">
        <f>'Resource Depletion'!K8</f>
        <v>1</v>
      </c>
      <c r="L7" s="94">
        <f>'Resource Depletion'!L8</f>
        <v>1</v>
      </c>
      <c r="M7" s="94">
        <f>'Resource Depletion'!M8</f>
        <v>1</v>
      </c>
      <c r="N7" s="94">
        <f>'Resource Depletion'!N8</f>
        <v>1</v>
      </c>
      <c r="O7" s="94">
        <f>'Resource Depletion'!O8</f>
        <v>1</v>
      </c>
      <c r="P7" s="94">
        <f>'Resource Depletion'!P8</f>
        <v>1</v>
      </c>
      <c r="Q7" s="94">
        <f>'Resource Depletion'!Q8</f>
        <v>1</v>
      </c>
      <c r="R7" s="94">
        <f>'Resource Depletion'!R8</f>
        <v>1</v>
      </c>
      <c r="S7" s="94">
        <f>'Resource Depletion'!S8</f>
        <v>1</v>
      </c>
      <c r="T7" s="94">
        <f>'Resource Depletion'!T8</f>
        <v>1</v>
      </c>
      <c r="U7" s="94">
        <f>'Resource Depletion'!U8</f>
        <v>1</v>
      </c>
      <c r="V7" s="94">
        <f>'Resource Depletion'!V8</f>
        <v>0</v>
      </c>
    </row>
    <row r="8" spans="1:22" ht="15" customHeight="1" x14ac:dyDescent="0.2">
      <c r="A8" s="5" t="s">
        <v>662</v>
      </c>
      <c r="B8" s="95">
        <f>IF(B7=0,0,IF('Resource Depletion'!B9&lt;=2,Assumptions!B150,Assumptions!B151))</f>
        <v>0</v>
      </c>
      <c r="C8" s="95">
        <f>IF(C7=0,0,IF('Resource Depletion'!C9&lt;=2,Assumptions!B150,Assumptions!B151))</f>
        <v>0</v>
      </c>
      <c r="D8" s="95">
        <f>IF(D7=0,0,IF('Resource Depletion'!D9&lt;=2,Assumptions!B150,Assumptions!B151))</f>
        <v>0</v>
      </c>
      <c r="E8" s="95">
        <f>IF(E7=0,0,IF('Resource Depletion'!E9&lt;=2,Assumptions!B150,Assumptions!B151))</f>
        <v>1.2</v>
      </c>
      <c r="F8" s="95">
        <f>IF(F7=0,0,IF('Resource Depletion'!F9&lt;=2,Assumptions!B150,Assumptions!B151))</f>
        <v>1.2</v>
      </c>
      <c r="G8" s="95">
        <f>IF(G7=0,0,IF('Resource Depletion'!G9&lt;=2,Assumptions!B150,Assumptions!B151))</f>
        <v>1</v>
      </c>
      <c r="H8" s="95">
        <f>IF(H7=0,0,IF('Resource Depletion'!H9&lt;=2,Assumptions!B150,Assumptions!B151))</f>
        <v>1</v>
      </c>
      <c r="I8" s="95">
        <f>IF(I7=0,0,IF('Resource Depletion'!I9&lt;=2,Assumptions!B150,Assumptions!B151))</f>
        <v>1</v>
      </c>
      <c r="J8" s="95">
        <f>IF(J7=0,0,IF('Resource Depletion'!J9&lt;=2,Assumptions!B150,Assumptions!B151))</f>
        <v>1</v>
      </c>
      <c r="K8" s="95">
        <f>IF(K7=0,0,IF('Resource Depletion'!K9&lt;=2,Assumptions!B150,Assumptions!B151))</f>
        <v>1</v>
      </c>
      <c r="L8" s="95">
        <f>IF(L7=0,0,IF('Resource Depletion'!L9&lt;=2,Assumptions!B150,Assumptions!B151))</f>
        <v>1</v>
      </c>
      <c r="M8" s="95">
        <f>IF(M7=0,0,IF('Resource Depletion'!M9&lt;=2,Assumptions!B150,Assumptions!B151))</f>
        <v>1</v>
      </c>
      <c r="N8" s="95">
        <f>IF(N7=0,0,IF('Resource Depletion'!N9&lt;=2,Assumptions!B150,Assumptions!B151))</f>
        <v>1</v>
      </c>
      <c r="O8" s="95">
        <f>IF(O7=0,0,IF('Resource Depletion'!O9&lt;=2,Assumptions!B150,Assumptions!B151))</f>
        <v>1</v>
      </c>
      <c r="P8" s="95">
        <f>IF(P7=0,0,IF('Resource Depletion'!P9&lt;=2,Assumptions!B150,Assumptions!B151))</f>
        <v>1</v>
      </c>
      <c r="Q8" s="95">
        <f>IF(Q7=0,0,IF('Resource Depletion'!Q9&lt;=2,Assumptions!B150,Assumptions!B151))</f>
        <v>1</v>
      </c>
      <c r="R8" s="95">
        <f>IF(R7=0,0,IF('Resource Depletion'!R9&lt;=2,Assumptions!B150,Assumptions!B151))</f>
        <v>1</v>
      </c>
      <c r="S8" s="95">
        <f>IF(S7=0,0,IF('Resource Depletion'!S9&lt;=2,Assumptions!B150,Assumptions!B151))</f>
        <v>1</v>
      </c>
      <c r="T8" s="95">
        <f>IF(T7=0,0,IF('Resource Depletion'!T9&lt;=2,Assumptions!B150,Assumptions!B151))</f>
        <v>1</v>
      </c>
      <c r="U8" s="95">
        <f>IF(U7=0,0,IF('Resource Depletion'!U9&lt;=2,Assumptions!B150,Assumptions!B151))</f>
        <v>1</v>
      </c>
      <c r="V8" s="95">
        <f>IF(V7=0,0,IF('Resource Depletion'!V9&lt;=2,Assumptions!B150,Assumptions!B151))</f>
        <v>0</v>
      </c>
    </row>
    <row r="10" spans="1:22" ht="15" customHeight="1" x14ac:dyDescent="0.2">
      <c r="A10" s="3" t="s">
        <v>663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</row>
    <row r="11" spans="1:22" ht="15" customHeight="1" x14ac:dyDescent="0.2">
      <c r="A11" s="5" t="s">
        <v>626</v>
      </c>
      <c r="B11" s="90">
        <f>Hedging!B61</f>
        <v>0</v>
      </c>
      <c r="C11" s="90">
        <f>Hedging!C61</f>
        <v>0</v>
      </c>
      <c r="D11" s="90">
        <f>Hedging!D61</f>
        <v>0</v>
      </c>
      <c r="E11" s="90">
        <f>Hedging!E61</f>
        <v>319.65734323764207</v>
      </c>
      <c r="F11" s="90">
        <f>Hedging!F61</f>
        <v>485.26228496309926</v>
      </c>
      <c r="G11" s="90">
        <f>Hedging!G61</f>
        <v>589.38489656624188</v>
      </c>
      <c r="H11" s="90">
        <f>Hedging!H61</f>
        <v>662.88494918775018</v>
      </c>
      <c r="I11" s="90">
        <f>Hedging!I61</f>
        <v>671.05804791751427</v>
      </c>
      <c r="J11" s="90">
        <f>Hedging!J61</f>
        <v>735.59422988840856</v>
      </c>
      <c r="K11" s="90">
        <f>Hedging!K61</f>
        <v>750.30611448617685</v>
      </c>
      <c r="L11" s="90">
        <f>Hedging!L61</f>
        <v>765.31223677590037</v>
      </c>
      <c r="M11" s="90">
        <f>Hedging!M61</f>
        <v>780.61848151141828</v>
      </c>
      <c r="N11" s="90">
        <f>Hedging!N61</f>
        <v>796.23085114164667</v>
      </c>
      <c r="O11" s="90">
        <f>Hedging!O61</f>
        <v>812.15546816447954</v>
      </c>
      <c r="P11" s="90">
        <f>Hedging!P61</f>
        <v>828.39857752776925</v>
      </c>
      <c r="Q11" s="90">
        <f>Hedging!Q61</f>
        <v>844.96654907832453</v>
      </c>
      <c r="R11" s="90">
        <f>Hedging!R61</f>
        <v>861.86588005989108</v>
      </c>
      <c r="S11" s="90">
        <f>Hedging!S61</f>
        <v>879.10319766108898</v>
      </c>
      <c r="T11" s="90">
        <f>Hedging!T61</f>
        <v>896.68526161431078</v>
      </c>
      <c r="U11" s="90">
        <f>Hedging!U61</f>
        <v>914.61896684659678</v>
      </c>
      <c r="V11" s="90">
        <f>Hedging!V61</f>
        <v>0</v>
      </c>
    </row>
    <row r="12" spans="1:22" ht="15" customHeight="1" x14ac:dyDescent="0.2">
      <c r="A12" s="5" t="s">
        <v>634</v>
      </c>
      <c r="B12" s="90">
        <f>'Project Cash Flow'!B21</f>
        <v>0</v>
      </c>
      <c r="C12" s="90">
        <f>'Project Cash Flow'!C21</f>
        <v>0</v>
      </c>
      <c r="D12" s="90">
        <f>'Project Cash Flow'!D21</f>
        <v>0</v>
      </c>
      <c r="E12" s="90">
        <f>'Project Cash Flow'!E21</f>
        <v>155.07225</v>
      </c>
      <c r="F12" s="90">
        <f>'Project Cash Flow'!F21</f>
        <v>238.42358437499996</v>
      </c>
      <c r="G12" s="90">
        <f>'Project Cash Flow'!G21</f>
        <v>293.26100878124993</v>
      </c>
      <c r="H12" s="90">
        <f>'Project Cash Flow'!H21</f>
        <v>333.99170444531239</v>
      </c>
      <c r="I12" s="90">
        <f>'Project Cash Flow'!I21</f>
        <v>342.34149705644523</v>
      </c>
      <c r="J12" s="90">
        <f>'Project Cash Flow'!J21</f>
        <v>350.90003448285631</v>
      </c>
      <c r="K12" s="90">
        <f>'Project Cash Flow'!K21</f>
        <v>359.67253534492767</v>
      </c>
      <c r="L12" s="90">
        <f>'Project Cash Flow'!L21</f>
        <v>368.66434872855086</v>
      </c>
      <c r="M12" s="90">
        <f>'Project Cash Flow'!M21</f>
        <v>377.88095744676457</v>
      </c>
      <c r="N12" s="90">
        <f>'Project Cash Flow'!N21</f>
        <v>387.32798138293367</v>
      </c>
      <c r="O12" s="90">
        <f>'Project Cash Flow'!O21</f>
        <v>397.01118091750698</v>
      </c>
      <c r="P12" s="90">
        <f>'Project Cash Flow'!P21</f>
        <v>406.93646044044465</v>
      </c>
      <c r="Q12" s="90">
        <f>'Project Cash Flow'!Q21</f>
        <v>417.10987195145577</v>
      </c>
      <c r="R12" s="90">
        <f>'Project Cash Flow'!R21</f>
        <v>427.53761875024219</v>
      </c>
      <c r="S12" s="90">
        <f>'Project Cash Flow'!S21</f>
        <v>438.2260592189981</v>
      </c>
      <c r="T12" s="90">
        <f>'Project Cash Flow'!T21</f>
        <v>449.18171069947311</v>
      </c>
      <c r="U12" s="90">
        <f>'Project Cash Flow'!U21</f>
        <v>460.41125346695998</v>
      </c>
      <c r="V12" s="90">
        <f>'Project Cash Flow'!V21</f>
        <v>0</v>
      </c>
    </row>
    <row r="14" spans="1:22" ht="15" customHeight="1" x14ac:dyDescent="0.2">
      <c r="A14" s="19" t="s">
        <v>664</v>
      </c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</row>
    <row r="15" spans="1:22" ht="15" customHeight="1" x14ac:dyDescent="0.2">
      <c r="A15" s="5" t="s">
        <v>665</v>
      </c>
      <c r="B15" s="78">
        <f>B7*Assumptions!B129/365*B11*B8</f>
        <v>0</v>
      </c>
      <c r="C15" s="78">
        <f>C7*Assumptions!B129/365*C11*C8</f>
        <v>0</v>
      </c>
      <c r="D15" s="78">
        <f>D7*Assumptions!B129/365*D11*D8</f>
        <v>0</v>
      </c>
      <c r="E15" s="78">
        <f>E7*Assumptions!B129/365*E11*E8</f>
        <v>31.527847552205792</v>
      </c>
      <c r="F15" s="78">
        <f>F7*Assumptions!B129/365*F11*F8</f>
        <v>47.861485640196086</v>
      </c>
      <c r="G15" s="78">
        <f>G7*Assumptions!B129/365*G11*G8</f>
        <v>48.442594238321249</v>
      </c>
      <c r="H15" s="78">
        <f>H7*Assumptions!B129/365*H11*H8</f>
        <v>54.483694453787685</v>
      </c>
      <c r="I15" s="78">
        <f>I7*Assumptions!B129/365*I11*I8</f>
        <v>55.15545599322035</v>
      </c>
      <c r="J15" s="78">
        <f>J7*Assumptions!B129/365*J11*J8</f>
        <v>60.459799716855493</v>
      </c>
      <c r="K15" s="78">
        <f>K7*Assumptions!B129/365*K11*K8</f>
        <v>61.668995711192615</v>
      </c>
      <c r="L15" s="78">
        <f>L7*Assumptions!B129/365*L11*L8</f>
        <v>62.902375625416468</v>
      </c>
      <c r="M15" s="78">
        <f>M7*Assumptions!B129/365*M11*M8</f>
        <v>64.160423137924781</v>
      </c>
      <c r="N15" s="78">
        <f>N7*Assumptions!B129/365*N11*N8</f>
        <v>65.44363160068329</v>
      </c>
      <c r="O15" s="78">
        <f>O7*Assumptions!B129/365*O11*O8</f>
        <v>66.75250423269695</v>
      </c>
      <c r="P15" s="78">
        <f>P7*Assumptions!B129/365*P11*P8</f>
        <v>68.087554317350893</v>
      </c>
      <c r="Q15" s="78">
        <f>Q7*Assumptions!B129/365*Q11*Q8</f>
        <v>69.449305403697906</v>
      </c>
      <c r="R15" s="78">
        <f>R7*Assumptions!B129/365*R11*R8</f>
        <v>70.838291511771871</v>
      </c>
      <c r="S15" s="78">
        <f>S7*Assumptions!B129/365*S11*S8</f>
        <v>72.255057342007305</v>
      </c>
      <c r="T15" s="78">
        <f>T7*Assumptions!B129/365*T11*T8</f>
        <v>73.700158488847464</v>
      </c>
      <c r="U15" s="78">
        <f>U7*Assumptions!B129/365*U11*U8</f>
        <v>75.174161658624385</v>
      </c>
      <c r="V15" s="78">
        <f>V7*Assumptions!B129/365*V11*V8</f>
        <v>0</v>
      </c>
    </row>
    <row r="16" spans="1:22" ht="15" customHeight="1" x14ac:dyDescent="0.2">
      <c r="A16" s="5" t="s">
        <v>666</v>
      </c>
      <c r="B16" s="78">
        <f>B7*Assumptions!B130/365*B11*B8</f>
        <v>0</v>
      </c>
      <c r="C16" s="78">
        <f>C7*Assumptions!B130/365*C11*C8</f>
        <v>0</v>
      </c>
      <c r="D16" s="78">
        <f>D7*Assumptions!B130/365*D11*D8</f>
        <v>0</v>
      </c>
      <c r="E16" s="78">
        <f>E7*Assumptions!B130/365*E11*E8</f>
        <v>15.763923776102896</v>
      </c>
      <c r="F16" s="78">
        <f>F7*Assumptions!B130/365*F11*F8</f>
        <v>23.930742820098043</v>
      </c>
      <c r="G16" s="78">
        <f>G7*Assumptions!B130/365*G11*G8</f>
        <v>24.221297119160624</v>
      </c>
      <c r="H16" s="78">
        <f>H7*Assumptions!B130/365*H11*H8</f>
        <v>27.241847226893842</v>
      </c>
      <c r="I16" s="78">
        <f>I7*Assumptions!B130/365*I11*I8</f>
        <v>27.577727996610175</v>
      </c>
      <c r="J16" s="78">
        <f>J7*Assumptions!B130/365*J11*J8</f>
        <v>30.229899858427746</v>
      </c>
      <c r="K16" s="78">
        <f>K7*Assumptions!B130/365*K11*K8</f>
        <v>30.834497855596307</v>
      </c>
      <c r="L16" s="78">
        <f>L7*Assumptions!B130/365*L11*L8</f>
        <v>31.451187812708234</v>
      </c>
      <c r="M16" s="78">
        <f>M7*Assumptions!B130/365*M11*M8</f>
        <v>32.08021156896239</v>
      </c>
      <c r="N16" s="78">
        <f>N7*Assumptions!B130/365*N11*N8</f>
        <v>32.721815800341645</v>
      </c>
      <c r="O16" s="78">
        <f>O7*Assumptions!B130/365*O11*O8</f>
        <v>33.376252116348475</v>
      </c>
      <c r="P16" s="78">
        <f>P7*Assumptions!B130/365*P11*P8</f>
        <v>34.043777158675447</v>
      </c>
      <c r="Q16" s="78">
        <f>Q7*Assumptions!B130/365*Q11*Q8</f>
        <v>34.724652701848953</v>
      </c>
      <c r="R16" s="78">
        <f>R7*Assumptions!B130/365*R11*R8</f>
        <v>35.419145755885936</v>
      </c>
      <c r="S16" s="78">
        <f>S7*Assumptions!B130/365*S11*S8</f>
        <v>36.127528671003653</v>
      </c>
      <c r="T16" s="78">
        <f>T7*Assumptions!B130/365*T11*T8</f>
        <v>36.850079244423732</v>
      </c>
      <c r="U16" s="78">
        <f>U7*Assumptions!B130/365*U11*U8</f>
        <v>37.587080829312193</v>
      </c>
      <c r="V16" s="78">
        <f>V7*Assumptions!B130/365*V11*V8</f>
        <v>0</v>
      </c>
    </row>
    <row r="17" spans="1:22" ht="15" customHeight="1" x14ac:dyDescent="0.2">
      <c r="A17" s="5" t="s">
        <v>667</v>
      </c>
      <c r="B17" s="78">
        <f>B7*Assumptions!B131/365*B11*B8</f>
        <v>0</v>
      </c>
      <c r="C17" s="78">
        <f>C7*Assumptions!B131/365*C11*C8</f>
        <v>0</v>
      </c>
      <c r="D17" s="78">
        <f>D7*Assumptions!B131/365*D11*D8</f>
        <v>0</v>
      </c>
      <c r="E17" s="78">
        <f>E7*Assumptions!B131/365*E11*E8</f>
        <v>10.50928251740193</v>
      </c>
      <c r="F17" s="78">
        <f>F7*Assumptions!B131/365*F11*F8</f>
        <v>15.95382854673203</v>
      </c>
      <c r="G17" s="78">
        <f>G7*Assumptions!B131/365*G11*G8</f>
        <v>16.147531412773748</v>
      </c>
      <c r="H17" s="78">
        <f>H7*Assumptions!B131/365*H11*H8</f>
        <v>18.161231484595895</v>
      </c>
      <c r="I17" s="78">
        <f>I7*Assumptions!B131/365*I11*I8</f>
        <v>18.385151997740117</v>
      </c>
      <c r="J17" s="78">
        <f>J7*Assumptions!B131/365*J11*J8</f>
        <v>20.153266572285165</v>
      </c>
      <c r="K17" s="78">
        <f>K7*Assumptions!B131/365*K11*K8</f>
        <v>20.556331903730872</v>
      </c>
      <c r="L17" s="78">
        <f>L7*Assumptions!B131/365*L11*L8</f>
        <v>20.967458541805488</v>
      </c>
      <c r="M17" s="78">
        <f>M7*Assumptions!B131/365*M11*M8</f>
        <v>21.386807712641595</v>
      </c>
      <c r="N17" s="78">
        <f>N7*Assumptions!B131/365*N11*N8</f>
        <v>21.814543866894429</v>
      </c>
      <c r="O17" s="78">
        <f>O7*Assumptions!B131/365*O11*O8</f>
        <v>22.250834744232314</v>
      </c>
      <c r="P17" s="78">
        <f>P7*Assumptions!B131/365*P11*P8</f>
        <v>22.695851439116964</v>
      </c>
      <c r="Q17" s="78">
        <f>Q7*Assumptions!B131/365*Q11*Q8</f>
        <v>23.1497684678993</v>
      </c>
      <c r="R17" s="78">
        <f>R7*Assumptions!B131/365*R11*R8</f>
        <v>23.61276383725729</v>
      </c>
      <c r="S17" s="78">
        <f>S7*Assumptions!B131/365*S11*S8</f>
        <v>24.085019114002435</v>
      </c>
      <c r="T17" s="78">
        <f>T7*Assumptions!B131/365*T11*T8</f>
        <v>24.566719496282484</v>
      </c>
      <c r="U17" s="78">
        <f>U7*Assumptions!B131/365*U11*U8</f>
        <v>25.058053886208128</v>
      </c>
      <c r="V17" s="78">
        <f>V7*Assumptions!B131/365*V11*V8</f>
        <v>0</v>
      </c>
    </row>
    <row r="18" spans="1:22" ht="15" customHeight="1" x14ac:dyDescent="0.2">
      <c r="A18" s="5" t="s">
        <v>668</v>
      </c>
      <c r="B18" s="78">
        <f>B7*Assumptions!B132/365*B12*B8</f>
        <v>0</v>
      </c>
      <c r="C18" s="78">
        <f>C7*Assumptions!B132/365*C12*C8</f>
        <v>0</v>
      </c>
      <c r="D18" s="78">
        <f>D7*Assumptions!B132/365*D12*D8</f>
        <v>0</v>
      </c>
      <c r="E18" s="78">
        <f>E7*Assumptions!B132/365*E12*E8</f>
        <v>22.942195890410957</v>
      </c>
      <c r="F18" s="78">
        <f>F7*Assumptions!B132/365*F12*F8</f>
        <v>35.273626181506842</v>
      </c>
      <c r="G18" s="78">
        <f>G7*Assumptions!B132/365*G12*G8</f>
        <v>36.155466836044511</v>
      </c>
      <c r="H18" s="78">
        <f>H7*Assumptions!B132/365*H12*H8</f>
        <v>41.177059452161799</v>
      </c>
      <c r="I18" s="78">
        <f>I7*Assumptions!B132/365*I12*I8</f>
        <v>42.206485938465846</v>
      </c>
      <c r="J18" s="78">
        <f>J7*Assumptions!B132/365*J12*J8</f>
        <v>43.261648086927487</v>
      </c>
      <c r="K18" s="78">
        <f>K7*Assumptions!B132/365*K12*K8</f>
        <v>44.343189289100671</v>
      </c>
      <c r="L18" s="78">
        <f>L7*Assumptions!B132/365*L12*L8</f>
        <v>45.45176902132819</v>
      </c>
      <c r="M18" s="78">
        <f>M7*Assumptions!B132/365*M12*M8</f>
        <v>46.588063246861381</v>
      </c>
      <c r="N18" s="78">
        <f>N7*Assumptions!B132/365*N12*N8</f>
        <v>47.752764828032916</v>
      </c>
      <c r="O18" s="78">
        <f>O7*Assumptions!B132/365*O12*O8</f>
        <v>48.946583948733732</v>
      </c>
      <c r="P18" s="78">
        <f>P7*Assumptions!B132/365*P12*P8</f>
        <v>50.170248547452076</v>
      </c>
      <c r="Q18" s="78">
        <f>Q7*Assumptions!B132/365*Q12*Q8</f>
        <v>51.42450476113838</v>
      </c>
      <c r="R18" s="78">
        <f>R7*Assumptions!B132/365*R12*R8</f>
        <v>52.710117380166842</v>
      </c>
      <c r="S18" s="78">
        <f>S7*Assumptions!B132/365*S12*S8</f>
        <v>54.027870314670999</v>
      </c>
      <c r="T18" s="78">
        <f>T7*Assumptions!B132/365*T12*T8</f>
        <v>55.378567072537777</v>
      </c>
      <c r="U18" s="78">
        <f>U7*Assumptions!B132/365*U12*U8</f>
        <v>56.763031249351229</v>
      </c>
      <c r="V18" s="78">
        <f>V7*Assumptions!B132/365*V12*V8</f>
        <v>0</v>
      </c>
    </row>
    <row r="19" spans="1:22" ht="15" customHeight="1" x14ac:dyDescent="0.2">
      <c r="A19" s="35" t="s">
        <v>669</v>
      </c>
      <c r="B19" s="84">
        <f t="shared" ref="B19:V19" si="0">SUM(B15:B18)</f>
        <v>0</v>
      </c>
      <c r="C19" s="84">
        <f t="shared" si="0"/>
        <v>0</v>
      </c>
      <c r="D19" s="84">
        <f t="shared" si="0"/>
        <v>0</v>
      </c>
      <c r="E19" s="84">
        <f t="shared" si="0"/>
        <v>80.74324973612157</v>
      </c>
      <c r="F19" s="84">
        <f t="shared" si="0"/>
        <v>123.01968318853299</v>
      </c>
      <c r="G19" s="84">
        <f t="shared" si="0"/>
        <v>124.96688960630013</v>
      </c>
      <c r="H19" s="84">
        <f t="shared" si="0"/>
        <v>141.06383261743923</v>
      </c>
      <c r="I19" s="84">
        <f t="shared" si="0"/>
        <v>143.32482192603649</v>
      </c>
      <c r="J19" s="84">
        <f t="shared" si="0"/>
        <v>154.1046142344959</v>
      </c>
      <c r="K19" s="84">
        <f t="shared" si="0"/>
        <v>157.40301475962048</v>
      </c>
      <c r="L19" s="84">
        <f t="shared" si="0"/>
        <v>160.77279100125838</v>
      </c>
      <c r="M19" s="84">
        <f t="shared" si="0"/>
        <v>164.21550566639013</v>
      </c>
      <c r="N19" s="84">
        <f t="shared" si="0"/>
        <v>167.73275609595228</v>
      </c>
      <c r="O19" s="84">
        <f t="shared" si="0"/>
        <v>171.32617504201147</v>
      </c>
      <c r="P19" s="84">
        <f t="shared" si="0"/>
        <v>174.99743146259539</v>
      </c>
      <c r="Q19" s="84">
        <f t="shared" si="0"/>
        <v>178.74823133458455</v>
      </c>
      <c r="R19" s="84">
        <f t="shared" si="0"/>
        <v>182.58031848508196</v>
      </c>
      <c r="S19" s="84">
        <f t="shared" si="0"/>
        <v>186.49547544168436</v>
      </c>
      <c r="T19" s="84">
        <f t="shared" si="0"/>
        <v>190.49552430209144</v>
      </c>
      <c r="U19" s="84">
        <f t="shared" si="0"/>
        <v>194.58232762349593</v>
      </c>
      <c r="V19" s="84">
        <f t="shared" si="0"/>
        <v>0</v>
      </c>
    </row>
    <row r="20" spans="1:22" ht="15" customHeight="1" x14ac:dyDescent="0.2">
      <c r="A20" s="12" t="s">
        <v>670</v>
      </c>
      <c r="B20" s="96">
        <f t="shared" ref="B20:V20" si="1">IF(B11&gt;0,B19/B11*365,0)</f>
        <v>0</v>
      </c>
      <c r="C20" s="96">
        <f t="shared" si="1"/>
        <v>0</v>
      </c>
      <c r="D20" s="96">
        <f t="shared" si="1"/>
        <v>0</v>
      </c>
      <c r="E20" s="96">
        <f t="shared" si="1"/>
        <v>92.196493455101404</v>
      </c>
      <c r="F20" s="96">
        <f t="shared" si="1"/>
        <v>92.531782821797151</v>
      </c>
      <c r="G20" s="96">
        <f t="shared" si="1"/>
        <v>77.390708469186293</v>
      </c>
      <c r="H20" s="96">
        <f t="shared" si="1"/>
        <v>77.67305468083903</v>
      </c>
      <c r="I20" s="96">
        <f t="shared" si="1"/>
        <v>77.956832743973948</v>
      </c>
      <c r="J20" s="96">
        <f t="shared" si="1"/>
        <v>76.466320574760346</v>
      </c>
      <c r="K20" s="96">
        <f t="shared" si="1"/>
        <v>76.57154763640132</v>
      </c>
      <c r="L20" s="96">
        <f t="shared" si="1"/>
        <v>76.677290516971908</v>
      </c>
      <c r="M20" s="96">
        <f t="shared" si="1"/>
        <v>76.783551744996274</v>
      </c>
      <c r="N20" s="96">
        <f t="shared" si="1"/>
        <v>76.89033386139333</v>
      </c>
      <c r="O20" s="96">
        <f t="shared" si="1"/>
        <v>76.997639419537407</v>
      </c>
      <c r="P20" s="96">
        <f t="shared" si="1"/>
        <v>77.105470985319457</v>
      </c>
      <c r="Q20" s="96">
        <f t="shared" si="1"/>
        <v>77.213831137208274</v>
      </c>
      <c r="R20" s="96">
        <f t="shared" si="1"/>
        <v>77.322722466312243</v>
      </c>
      <c r="S20" s="96">
        <f t="shared" si="1"/>
        <v>77.432147576441196</v>
      </c>
      <c r="T20" s="96">
        <f t="shared" si="1"/>
        <v>77.542109084168857</v>
      </c>
      <c r="U20" s="96">
        <f t="shared" si="1"/>
        <v>77.652609618895184</v>
      </c>
      <c r="V20" s="96">
        <f t="shared" si="1"/>
        <v>0</v>
      </c>
    </row>
    <row r="22" spans="1:22" ht="15" customHeight="1" x14ac:dyDescent="0.2">
      <c r="A22" s="19" t="s">
        <v>671</v>
      </c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</row>
    <row r="23" spans="1:22" ht="15" customHeight="1" x14ac:dyDescent="0.2">
      <c r="A23" s="5" t="s">
        <v>672</v>
      </c>
      <c r="B23" s="78">
        <f>B7*Assumptions!B136/365*B12*B8</f>
        <v>0</v>
      </c>
      <c r="C23" s="78">
        <f>C7*Assumptions!B136/365*C12*C8</f>
        <v>0</v>
      </c>
      <c r="D23" s="78">
        <f>D7*Assumptions!B136/365*D12*D8</f>
        <v>0</v>
      </c>
      <c r="E23" s="78">
        <f>E7*Assumptions!B136/365*E12*E8</f>
        <v>10.196531506849313</v>
      </c>
      <c r="F23" s="78">
        <f>F7*Assumptions!B136/365*F12*F8</f>
        <v>15.677167191780818</v>
      </c>
      <c r="G23" s="78">
        <f>G7*Assumptions!B136/365*G12*G8</f>
        <v>16.069096371575338</v>
      </c>
      <c r="H23" s="78">
        <f>H7*Assumptions!B136/365*H12*H8</f>
        <v>18.300915312071911</v>
      </c>
      <c r="I23" s="78">
        <f>I7*Assumptions!B136/365*I12*I8</f>
        <v>18.758438194873712</v>
      </c>
      <c r="J23" s="78">
        <f>J7*Assumptions!B136/365*J12*J8</f>
        <v>19.227399149745551</v>
      </c>
      <c r="K23" s="78">
        <f>K7*Assumptions!B136/365*K12*K8</f>
        <v>19.708084128489187</v>
      </c>
      <c r="L23" s="78">
        <f>L7*Assumptions!B136/365*L12*L8</f>
        <v>20.200786231701414</v>
      </c>
      <c r="M23" s="78">
        <f>M7*Assumptions!B136/365*M12*M8</f>
        <v>20.705805887493948</v>
      </c>
      <c r="N23" s="78">
        <f>N7*Assumptions!B136/365*N12*N8</f>
        <v>21.223451034681297</v>
      </c>
      <c r="O23" s="78">
        <f>O7*Assumptions!B136/365*O12*O8</f>
        <v>21.754037310548327</v>
      </c>
      <c r="P23" s="78">
        <f>P7*Assumptions!B136/365*P12*P8</f>
        <v>22.297888243312034</v>
      </c>
      <c r="Q23" s="78">
        <f>Q7*Assumptions!B136/365*Q12*Q8</f>
        <v>22.855335449394836</v>
      </c>
      <c r="R23" s="78">
        <f>R7*Assumptions!B136/365*R12*R8</f>
        <v>23.426718835629707</v>
      </c>
      <c r="S23" s="78">
        <f>S7*Assumptions!B136/365*S12*S8</f>
        <v>24.012386806520443</v>
      </c>
      <c r="T23" s="78">
        <f>T7*Assumptions!B136/365*T12*T8</f>
        <v>24.612696476683457</v>
      </c>
      <c r="U23" s="78">
        <f>U7*Assumptions!B136/365*U12*U8</f>
        <v>25.228013888600547</v>
      </c>
      <c r="V23" s="78">
        <f>V7*Assumptions!B136/365*V12*V8</f>
        <v>0</v>
      </c>
    </row>
    <row r="24" spans="1:22" ht="15" customHeight="1" x14ac:dyDescent="0.2">
      <c r="A24" s="5" t="s">
        <v>673</v>
      </c>
      <c r="B24" s="78">
        <f>B7*Assumptions!B137/365*B12*B8</f>
        <v>0</v>
      </c>
      <c r="C24" s="78">
        <f>C7*Assumptions!B137/365*C12*C8</f>
        <v>0</v>
      </c>
      <c r="D24" s="78">
        <f>D7*Assumptions!B137/365*D12*D8</f>
        <v>0</v>
      </c>
      <c r="E24" s="78">
        <f>E7*Assumptions!B137/365*E12*E8</f>
        <v>7.6473986301369852</v>
      </c>
      <c r="F24" s="78">
        <f>F7*Assumptions!B137/365*F12*F8</f>
        <v>11.757875393835613</v>
      </c>
      <c r="G24" s="78">
        <f>G7*Assumptions!B137/365*G12*G8</f>
        <v>12.051822278681502</v>
      </c>
      <c r="H24" s="78">
        <f>H7*Assumptions!B137/365*H12*H8</f>
        <v>13.725686484053933</v>
      </c>
      <c r="I24" s="78">
        <f>I7*Assumptions!B137/365*I12*I8</f>
        <v>14.068828646155282</v>
      </c>
      <c r="J24" s="78">
        <f>J7*Assumptions!B137/365*J12*J8</f>
        <v>14.420549362309163</v>
      </c>
      <c r="K24" s="78">
        <f>K7*Assumptions!B137/365*K12*K8</f>
        <v>14.781063096366889</v>
      </c>
      <c r="L24" s="78">
        <f>L7*Assumptions!B137/365*L12*L8</f>
        <v>15.150589673776063</v>
      </c>
      <c r="M24" s="78">
        <f>M7*Assumptions!B137/365*M12*M8</f>
        <v>15.52935441562046</v>
      </c>
      <c r="N24" s="78">
        <f>N7*Assumptions!B137/365*N12*N8</f>
        <v>15.917588276010973</v>
      </c>
      <c r="O24" s="78">
        <f>O7*Assumptions!B137/365*O12*O8</f>
        <v>16.315527982911245</v>
      </c>
      <c r="P24" s="78">
        <f>P7*Assumptions!B137/365*P12*P8</f>
        <v>16.723416182484026</v>
      </c>
      <c r="Q24" s="78">
        <f>Q7*Assumptions!B137/365*Q12*Q8</f>
        <v>17.141501587046125</v>
      </c>
      <c r="R24" s="78">
        <f>R7*Assumptions!B137/365*R12*R8</f>
        <v>17.570039126722282</v>
      </c>
      <c r="S24" s="78">
        <f>S7*Assumptions!B137/365*S12*S8</f>
        <v>18.009290104890333</v>
      </c>
      <c r="T24" s="78">
        <f>T7*Assumptions!B137/365*T12*T8</f>
        <v>18.459522357512594</v>
      </c>
      <c r="U24" s="78">
        <f>U7*Assumptions!B137/365*U12*U8</f>
        <v>18.921010416450407</v>
      </c>
      <c r="V24" s="78">
        <f>V7*Assumptions!B137/365*V12*V8</f>
        <v>0</v>
      </c>
    </row>
    <row r="25" spans="1:22" ht="15" customHeight="1" x14ac:dyDescent="0.2">
      <c r="A25" s="5" t="s">
        <v>674</v>
      </c>
      <c r="B25" s="78">
        <f>B7*Assumptions!B138/365*B12*B8</f>
        <v>0</v>
      </c>
      <c r="C25" s="78">
        <f>C7*Assumptions!B138/365*C12*C8</f>
        <v>0</v>
      </c>
      <c r="D25" s="78">
        <f>D7*Assumptions!B138/365*D12*D8</f>
        <v>0</v>
      </c>
      <c r="E25" s="78">
        <f>E7*Assumptions!B138/365*E12*E8</f>
        <v>22.942195890410957</v>
      </c>
      <c r="F25" s="78">
        <f>F7*Assumptions!B138/365*F12*F8</f>
        <v>35.273626181506842</v>
      </c>
      <c r="G25" s="78">
        <f>G7*Assumptions!B138/365*G12*G8</f>
        <v>36.155466836044511</v>
      </c>
      <c r="H25" s="78">
        <f>H7*Assumptions!B138/365*H12*H8</f>
        <v>41.177059452161799</v>
      </c>
      <c r="I25" s="78">
        <f>I7*Assumptions!B138/365*I12*I8</f>
        <v>42.206485938465846</v>
      </c>
      <c r="J25" s="78">
        <f>J7*Assumptions!B138/365*J12*J8</f>
        <v>43.261648086927487</v>
      </c>
      <c r="K25" s="78">
        <f>K7*Assumptions!B138/365*K12*K8</f>
        <v>44.343189289100671</v>
      </c>
      <c r="L25" s="78">
        <f>L7*Assumptions!B138/365*L12*L8</f>
        <v>45.45176902132819</v>
      </c>
      <c r="M25" s="78">
        <f>M7*Assumptions!B138/365*M12*M8</f>
        <v>46.588063246861381</v>
      </c>
      <c r="N25" s="78">
        <f>N7*Assumptions!B138/365*N12*N8</f>
        <v>47.752764828032916</v>
      </c>
      <c r="O25" s="78">
        <f>O7*Assumptions!B138/365*O12*O8</f>
        <v>48.946583948733732</v>
      </c>
      <c r="P25" s="78">
        <f>P7*Assumptions!B138/365*P12*P8</f>
        <v>50.170248547452076</v>
      </c>
      <c r="Q25" s="78">
        <f>Q7*Assumptions!B138/365*Q12*Q8</f>
        <v>51.42450476113838</v>
      </c>
      <c r="R25" s="78">
        <f>R7*Assumptions!B138/365*R12*R8</f>
        <v>52.710117380166842</v>
      </c>
      <c r="S25" s="78">
        <f>S7*Assumptions!B138/365*S12*S8</f>
        <v>54.027870314670999</v>
      </c>
      <c r="T25" s="78">
        <f>T7*Assumptions!B138/365*T12*T8</f>
        <v>55.378567072537777</v>
      </c>
      <c r="U25" s="78">
        <f>U7*Assumptions!B138/365*U12*U8</f>
        <v>56.763031249351229</v>
      </c>
      <c r="V25" s="78">
        <f>V7*Assumptions!B138/365*V12*V8</f>
        <v>0</v>
      </c>
    </row>
    <row r="26" spans="1:22" ht="15" customHeight="1" x14ac:dyDescent="0.2">
      <c r="A26" s="35" t="s">
        <v>675</v>
      </c>
      <c r="B26" s="84">
        <f t="shared" ref="B26:V26" si="2">SUM(B23:B25)</f>
        <v>0</v>
      </c>
      <c r="C26" s="84">
        <f t="shared" si="2"/>
        <v>0</v>
      </c>
      <c r="D26" s="84">
        <f t="shared" si="2"/>
        <v>0</v>
      </c>
      <c r="E26" s="84">
        <f t="shared" si="2"/>
        <v>40.786126027397259</v>
      </c>
      <c r="F26" s="84">
        <f t="shared" si="2"/>
        <v>62.708668767123271</v>
      </c>
      <c r="G26" s="84">
        <f t="shared" si="2"/>
        <v>64.276385486301351</v>
      </c>
      <c r="H26" s="84">
        <f t="shared" si="2"/>
        <v>73.203661248287645</v>
      </c>
      <c r="I26" s="84">
        <f t="shared" si="2"/>
        <v>75.033752779494847</v>
      </c>
      <c r="J26" s="84">
        <f t="shared" si="2"/>
        <v>76.909596598982205</v>
      </c>
      <c r="K26" s="84">
        <f t="shared" si="2"/>
        <v>78.832336513956747</v>
      </c>
      <c r="L26" s="84">
        <f t="shared" si="2"/>
        <v>80.803144926805658</v>
      </c>
      <c r="M26" s="84">
        <f t="shared" si="2"/>
        <v>82.823223549975793</v>
      </c>
      <c r="N26" s="84">
        <f t="shared" si="2"/>
        <v>84.893804138725187</v>
      </c>
      <c r="O26" s="84">
        <f t="shared" si="2"/>
        <v>87.016149242193308</v>
      </c>
      <c r="P26" s="84">
        <f t="shared" si="2"/>
        <v>89.191552973248136</v>
      </c>
      <c r="Q26" s="84">
        <f t="shared" si="2"/>
        <v>91.421341797579345</v>
      </c>
      <c r="R26" s="84">
        <f t="shared" si="2"/>
        <v>93.706875342518828</v>
      </c>
      <c r="S26" s="84">
        <f t="shared" si="2"/>
        <v>96.049547226081785</v>
      </c>
      <c r="T26" s="84">
        <f t="shared" si="2"/>
        <v>98.450785906733827</v>
      </c>
      <c r="U26" s="84">
        <f t="shared" si="2"/>
        <v>100.91205555440219</v>
      </c>
      <c r="V26" s="84">
        <f t="shared" si="2"/>
        <v>0</v>
      </c>
    </row>
    <row r="27" spans="1:22" ht="15" customHeight="1" x14ac:dyDescent="0.2">
      <c r="A27" s="12" t="s">
        <v>676</v>
      </c>
      <c r="B27" s="96">
        <f t="shared" ref="B27:V27" si="3">IF(B12&gt;0,B26/B12*365,0)</f>
        <v>0</v>
      </c>
      <c r="C27" s="96">
        <f t="shared" si="3"/>
        <v>0</v>
      </c>
      <c r="D27" s="96">
        <f t="shared" si="3"/>
        <v>0</v>
      </c>
      <c r="E27" s="96">
        <f t="shared" si="3"/>
        <v>95.999999999999986</v>
      </c>
      <c r="F27" s="96">
        <f t="shared" si="3"/>
        <v>95.999999999999986</v>
      </c>
      <c r="G27" s="96">
        <f t="shared" si="3"/>
        <v>80</v>
      </c>
      <c r="H27" s="96">
        <f t="shared" si="3"/>
        <v>80</v>
      </c>
      <c r="I27" s="96">
        <f t="shared" si="3"/>
        <v>80</v>
      </c>
      <c r="J27" s="96">
        <f t="shared" si="3"/>
        <v>80</v>
      </c>
      <c r="K27" s="96">
        <f t="shared" si="3"/>
        <v>80</v>
      </c>
      <c r="L27" s="96">
        <f t="shared" si="3"/>
        <v>79.999999999999986</v>
      </c>
      <c r="M27" s="96">
        <f t="shared" si="3"/>
        <v>80</v>
      </c>
      <c r="N27" s="96">
        <f t="shared" si="3"/>
        <v>80</v>
      </c>
      <c r="O27" s="96">
        <f t="shared" si="3"/>
        <v>80</v>
      </c>
      <c r="P27" s="96">
        <f t="shared" si="3"/>
        <v>80</v>
      </c>
      <c r="Q27" s="96">
        <f t="shared" si="3"/>
        <v>80</v>
      </c>
      <c r="R27" s="96">
        <f t="shared" si="3"/>
        <v>80</v>
      </c>
      <c r="S27" s="96">
        <f t="shared" si="3"/>
        <v>80</v>
      </c>
      <c r="T27" s="96">
        <f t="shared" si="3"/>
        <v>80</v>
      </c>
      <c r="U27" s="96">
        <f t="shared" si="3"/>
        <v>80</v>
      </c>
      <c r="V27" s="96">
        <f t="shared" si="3"/>
        <v>0</v>
      </c>
    </row>
    <row r="29" spans="1:22" ht="15" customHeight="1" x14ac:dyDescent="0.2">
      <c r="A29" s="25" t="s">
        <v>677</v>
      </c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</row>
    <row r="30" spans="1:22" ht="15" customHeight="1" x14ac:dyDescent="0.2">
      <c r="A30" s="5" t="s">
        <v>678</v>
      </c>
      <c r="B30" s="78">
        <f>B7*Assumptions!B142/365*B12*B8</f>
        <v>0</v>
      </c>
      <c r="C30" s="78">
        <f>C7*Assumptions!B142/365*C12*C8</f>
        <v>0</v>
      </c>
      <c r="D30" s="78">
        <f>D7*Assumptions!B142/365*D12*D8</f>
        <v>0</v>
      </c>
      <c r="E30" s="78">
        <f>E7*Assumptions!B142/365*E12*E8</f>
        <v>15.29479726027397</v>
      </c>
      <c r="F30" s="78">
        <f>F7*Assumptions!B142/365*F12*F8</f>
        <v>23.515750787671227</v>
      </c>
      <c r="G30" s="78">
        <f>G7*Assumptions!B142/365*G12*G8</f>
        <v>24.103644557363005</v>
      </c>
      <c r="H30" s="78">
        <f>H7*Assumptions!B142/365*H12*H8</f>
        <v>27.451372968107865</v>
      </c>
      <c r="I30" s="78">
        <f>I7*Assumptions!B142/365*I12*I8</f>
        <v>28.137657292310564</v>
      </c>
      <c r="J30" s="78">
        <f>J7*Assumptions!B142/365*J12*J8</f>
        <v>28.841098724618327</v>
      </c>
      <c r="K30" s="78">
        <f>K7*Assumptions!B142/365*K12*K8</f>
        <v>29.562126192733778</v>
      </c>
      <c r="L30" s="78">
        <f>L7*Assumptions!B142/365*L12*L8</f>
        <v>30.301179347552125</v>
      </c>
      <c r="M30" s="78">
        <f>M7*Assumptions!B142/365*M12*M8</f>
        <v>31.058708831240921</v>
      </c>
      <c r="N30" s="78">
        <f>N7*Assumptions!B142/365*N12*N8</f>
        <v>31.835176552021945</v>
      </c>
      <c r="O30" s="78">
        <f>O7*Assumptions!B142/365*O12*O8</f>
        <v>32.63105596582249</v>
      </c>
      <c r="P30" s="78">
        <f>P7*Assumptions!B142/365*P12*P8</f>
        <v>33.446832364968053</v>
      </c>
      <c r="Q30" s="78">
        <f>Q7*Assumptions!B142/365*Q12*Q8</f>
        <v>34.283003174092251</v>
      </c>
      <c r="R30" s="78">
        <f>R7*Assumptions!B142/365*R12*R8</f>
        <v>35.140078253444564</v>
      </c>
      <c r="S30" s="78">
        <f>S7*Assumptions!B142/365*S12*S8</f>
        <v>36.018580209780666</v>
      </c>
      <c r="T30" s="78">
        <f>T7*Assumptions!B142/365*T12*T8</f>
        <v>36.919044715025187</v>
      </c>
      <c r="U30" s="78">
        <f>U7*Assumptions!B142/365*U12*U8</f>
        <v>37.842020832900815</v>
      </c>
      <c r="V30" s="78">
        <f>V7*Assumptions!B142/365*V12*V8</f>
        <v>0</v>
      </c>
    </row>
    <row r="31" spans="1:22" ht="15" customHeight="1" x14ac:dyDescent="0.2">
      <c r="A31" s="5" t="s">
        <v>679</v>
      </c>
      <c r="B31" s="78">
        <f>B7*Assumptions!B143/365*B12*B8</f>
        <v>0</v>
      </c>
      <c r="C31" s="78">
        <f>C7*Assumptions!B143/365*C12*C8</f>
        <v>0</v>
      </c>
      <c r="D31" s="78">
        <f>D7*Assumptions!B143/365*D12*D8</f>
        <v>0</v>
      </c>
      <c r="E31" s="78">
        <f>E7*Assumptions!B143/365*E12*E8</f>
        <v>22.942195890410957</v>
      </c>
      <c r="F31" s="78">
        <f>F7*Assumptions!B143/365*F12*F8</f>
        <v>35.273626181506842</v>
      </c>
      <c r="G31" s="78">
        <f>G7*Assumptions!B143/365*G12*G8</f>
        <v>36.155466836044511</v>
      </c>
      <c r="H31" s="78">
        <f>H7*Assumptions!B143/365*H12*H8</f>
        <v>41.177059452161799</v>
      </c>
      <c r="I31" s="78">
        <f>I7*Assumptions!B143/365*I12*I8</f>
        <v>42.206485938465846</v>
      </c>
      <c r="J31" s="78">
        <f>J7*Assumptions!B143/365*J12*J8</f>
        <v>43.261648086927487</v>
      </c>
      <c r="K31" s="78">
        <f>K7*Assumptions!B143/365*K12*K8</f>
        <v>44.343189289100671</v>
      </c>
      <c r="L31" s="78">
        <f>L7*Assumptions!B143/365*L12*L8</f>
        <v>45.45176902132819</v>
      </c>
      <c r="M31" s="78">
        <f>M7*Assumptions!B143/365*M12*M8</f>
        <v>46.588063246861381</v>
      </c>
      <c r="N31" s="78">
        <f>N7*Assumptions!B143/365*N12*N8</f>
        <v>47.752764828032916</v>
      </c>
      <c r="O31" s="78">
        <f>O7*Assumptions!B143/365*O12*O8</f>
        <v>48.946583948733732</v>
      </c>
      <c r="P31" s="78">
        <f>P7*Assumptions!B143/365*P12*P8</f>
        <v>50.170248547452076</v>
      </c>
      <c r="Q31" s="78">
        <f>Q7*Assumptions!B143/365*Q12*Q8</f>
        <v>51.42450476113838</v>
      </c>
      <c r="R31" s="78">
        <f>R7*Assumptions!B143/365*R12*R8</f>
        <v>52.710117380166842</v>
      </c>
      <c r="S31" s="78">
        <f>S7*Assumptions!B143/365*S12*S8</f>
        <v>54.027870314670999</v>
      </c>
      <c r="T31" s="78">
        <f>T7*Assumptions!B143/365*T12*T8</f>
        <v>55.378567072537777</v>
      </c>
      <c r="U31" s="78">
        <f>U7*Assumptions!B143/365*U12*U8</f>
        <v>56.763031249351229</v>
      </c>
      <c r="V31" s="78">
        <f>V7*Assumptions!B143/365*V12*V8</f>
        <v>0</v>
      </c>
    </row>
    <row r="32" spans="1:22" ht="15" customHeight="1" x14ac:dyDescent="0.2">
      <c r="A32" s="5" t="s">
        <v>680</v>
      </c>
      <c r="B32" s="78">
        <f>B7*Assumptions!B144/365*B12*B8</f>
        <v>0</v>
      </c>
      <c r="C32" s="78">
        <f>C7*Assumptions!B144/365*C12*C8</f>
        <v>0</v>
      </c>
      <c r="D32" s="78">
        <f>D7*Assumptions!B144/365*D12*D8</f>
        <v>0</v>
      </c>
      <c r="E32" s="78">
        <f>E7*Assumptions!B144/365*E12*E8</f>
        <v>7.6473986301369852</v>
      </c>
      <c r="F32" s="78">
        <f>F7*Assumptions!B144/365*F12*F8</f>
        <v>11.757875393835613</v>
      </c>
      <c r="G32" s="78">
        <f>G7*Assumptions!B144/365*G12*G8</f>
        <v>12.051822278681502</v>
      </c>
      <c r="H32" s="78">
        <f>H7*Assumptions!B144/365*H12*H8</f>
        <v>13.725686484053933</v>
      </c>
      <c r="I32" s="78">
        <f>I7*Assumptions!B144/365*I12*I8</f>
        <v>14.068828646155282</v>
      </c>
      <c r="J32" s="78">
        <f>J7*Assumptions!B144/365*J12*J8</f>
        <v>14.420549362309163</v>
      </c>
      <c r="K32" s="78">
        <f>K7*Assumptions!B144/365*K12*K8</f>
        <v>14.781063096366889</v>
      </c>
      <c r="L32" s="78">
        <f>L7*Assumptions!B144/365*L12*L8</f>
        <v>15.150589673776063</v>
      </c>
      <c r="M32" s="78">
        <f>M7*Assumptions!B144/365*M12*M8</f>
        <v>15.52935441562046</v>
      </c>
      <c r="N32" s="78">
        <f>N7*Assumptions!B144/365*N12*N8</f>
        <v>15.917588276010973</v>
      </c>
      <c r="O32" s="78">
        <f>O7*Assumptions!B144/365*O12*O8</f>
        <v>16.315527982911245</v>
      </c>
      <c r="P32" s="78">
        <f>P7*Assumptions!B144/365*P12*P8</f>
        <v>16.723416182484026</v>
      </c>
      <c r="Q32" s="78">
        <f>Q7*Assumptions!B144/365*Q12*Q8</f>
        <v>17.141501587046125</v>
      </c>
      <c r="R32" s="78">
        <f>R7*Assumptions!B144/365*R12*R8</f>
        <v>17.570039126722282</v>
      </c>
      <c r="S32" s="78">
        <f>S7*Assumptions!B144/365*S12*S8</f>
        <v>18.009290104890333</v>
      </c>
      <c r="T32" s="78">
        <f>T7*Assumptions!B144/365*T12*T8</f>
        <v>18.459522357512594</v>
      </c>
      <c r="U32" s="78">
        <f>U7*Assumptions!B144/365*U12*U8</f>
        <v>18.921010416450407</v>
      </c>
      <c r="V32" s="78">
        <f>V7*Assumptions!B144/365*V12*V8</f>
        <v>0</v>
      </c>
    </row>
    <row r="33" spans="1:22" ht="15" customHeight="1" x14ac:dyDescent="0.2">
      <c r="A33" s="35" t="s">
        <v>681</v>
      </c>
      <c r="B33" s="84">
        <f t="shared" ref="B33:V33" si="4">SUM(B30:B32)</f>
        <v>0</v>
      </c>
      <c r="C33" s="84">
        <f t="shared" si="4"/>
        <v>0</v>
      </c>
      <c r="D33" s="84">
        <f t="shared" si="4"/>
        <v>0</v>
      </c>
      <c r="E33" s="84">
        <f t="shared" si="4"/>
        <v>45.884391780821908</v>
      </c>
      <c r="F33" s="84">
        <f t="shared" si="4"/>
        <v>70.547252363013683</v>
      </c>
      <c r="G33" s="84">
        <f t="shared" si="4"/>
        <v>72.310933672089021</v>
      </c>
      <c r="H33" s="84">
        <f t="shared" si="4"/>
        <v>82.354118904323599</v>
      </c>
      <c r="I33" s="84">
        <f t="shared" si="4"/>
        <v>84.412971876931692</v>
      </c>
      <c r="J33" s="84">
        <f t="shared" si="4"/>
        <v>86.523296173854973</v>
      </c>
      <c r="K33" s="84">
        <f t="shared" si="4"/>
        <v>88.686378578201342</v>
      </c>
      <c r="L33" s="84">
        <f t="shared" si="4"/>
        <v>90.903538042656379</v>
      </c>
      <c r="M33" s="84">
        <f t="shared" si="4"/>
        <v>93.176126493722762</v>
      </c>
      <c r="N33" s="84">
        <f t="shared" si="4"/>
        <v>95.505529656065832</v>
      </c>
      <c r="O33" s="84">
        <f t="shared" si="4"/>
        <v>97.893167897467464</v>
      </c>
      <c r="P33" s="84">
        <f t="shared" si="4"/>
        <v>100.34049709490417</v>
      </c>
      <c r="Q33" s="84">
        <f t="shared" si="4"/>
        <v>102.84900952227676</v>
      </c>
      <c r="R33" s="84">
        <f t="shared" si="4"/>
        <v>105.42023476033368</v>
      </c>
      <c r="S33" s="84">
        <f t="shared" si="4"/>
        <v>108.05574062934201</v>
      </c>
      <c r="T33" s="84">
        <f t="shared" si="4"/>
        <v>110.75713414507557</v>
      </c>
      <c r="U33" s="84">
        <f t="shared" si="4"/>
        <v>113.52606249870246</v>
      </c>
      <c r="V33" s="84">
        <f t="shared" si="4"/>
        <v>0</v>
      </c>
    </row>
    <row r="34" spans="1:22" ht="15" customHeight="1" x14ac:dyDescent="0.2">
      <c r="A34" s="12" t="s">
        <v>682</v>
      </c>
      <c r="B34" s="96">
        <f t="shared" ref="B34:V34" si="5">IF(B12&gt;0,B33/B12*365,0)</f>
        <v>0</v>
      </c>
      <c r="C34" s="96">
        <f t="shared" si="5"/>
        <v>0</v>
      </c>
      <c r="D34" s="96">
        <f t="shared" si="5"/>
        <v>0</v>
      </c>
      <c r="E34" s="96">
        <f t="shared" si="5"/>
        <v>107.99999999999999</v>
      </c>
      <c r="F34" s="96">
        <f t="shared" si="5"/>
        <v>108</v>
      </c>
      <c r="G34" s="96">
        <f t="shared" si="5"/>
        <v>90</v>
      </c>
      <c r="H34" s="96">
        <f t="shared" si="5"/>
        <v>90</v>
      </c>
      <c r="I34" s="96">
        <f t="shared" si="5"/>
        <v>90</v>
      </c>
      <c r="J34" s="96">
        <f t="shared" si="5"/>
        <v>90</v>
      </c>
      <c r="K34" s="96">
        <f t="shared" si="5"/>
        <v>90</v>
      </c>
      <c r="L34" s="96">
        <f t="shared" si="5"/>
        <v>90</v>
      </c>
      <c r="M34" s="96">
        <f t="shared" si="5"/>
        <v>90</v>
      </c>
      <c r="N34" s="96">
        <f t="shared" si="5"/>
        <v>90</v>
      </c>
      <c r="O34" s="96">
        <f t="shared" si="5"/>
        <v>90</v>
      </c>
      <c r="P34" s="96">
        <f t="shared" si="5"/>
        <v>90</v>
      </c>
      <c r="Q34" s="96">
        <f t="shared" si="5"/>
        <v>90</v>
      </c>
      <c r="R34" s="96">
        <f t="shared" si="5"/>
        <v>90</v>
      </c>
      <c r="S34" s="96">
        <f t="shared" si="5"/>
        <v>90.000000000000014</v>
      </c>
      <c r="T34" s="96">
        <f t="shared" si="5"/>
        <v>90</v>
      </c>
      <c r="U34" s="96">
        <f t="shared" si="5"/>
        <v>90</v>
      </c>
      <c r="V34" s="96">
        <f t="shared" si="5"/>
        <v>0</v>
      </c>
    </row>
    <row r="36" spans="1:22" ht="15" customHeight="1" x14ac:dyDescent="0.2">
      <c r="A36" s="3" t="s">
        <v>683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</row>
    <row r="37" spans="1:22" ht="15" customHeight="1" x14ac:dyDescent="0.2">
      <c r="A37" s="35" t="s">
        <v>647</v>
      </c>
      <c r="B37" s="84">
        <f t="shared" ref="B37:V37" si="6">B19+B26-B33</f>
        <v>0</v>
      </c>
      <c r="C37" s="84">
        <f t="shared" si="6"/>
        <v>0</v>
      </c>
      <c r="D37" s="84">
        <f t="shared" si="6"/>
        <v>0</v>
      </c>
      <c r="E37" s="84">
        <f t="shared" si="6"/>
        <v>75.644983982696914</v>
      </c>
      <c r="F37" s="84">
        <f t="shared" si="6"/>
        <v>115.18109959264257</v>
      </c>
      <c r="G37" s="84">
        <f t="shared" si="6"/>
        <v>116.93234142051247</v>
      </c>
      <c r="H37" s="84">
        <f t="shared" si="6"/>
        <v>131.91337496140326</v>
      </c>
      <c r="I37" s="84">
        <f t="shared" si="6"/>
        <v>133.94560282859965</v>
      </c>
      <c r="J37" s="84">
        <f t="shared" si="6"/>
        <v>144.49091465962312</v>
      </c>
      <c r="K37" s="84">
        <f t="shared" si="6"/>
        <v>147.54897269537588</v>
      </c>
      <c r="L37" s="84">
        <f t="shared" si="6"/>
        <v>150.67239788540766</v>
      </c>
      <c r="M37" s="84">
        <f t="shared" si="6"/>
        <v>153.86260272264317</v>
      </c>
      <c r="N37" s="84">
        <f t="shared" si="6"/>
        <v>157.12103057861162</v>
      </c>
      <c r="O37" s="84">
        <f t="shared" si="6"/>
        <v>160.44915638673731</v>
      </c>
      <c r="P37" s="84">
        <f t="shared" si="6"/>
        <v>163.84848734093936</v>
      </c>
      <c r="Q37" s="84">
        <f t="shared" si="6"/>
        <v>167.32056360988716</v>
      </c>
      <c r="R37" s="84">
        <f t="shared" si="6"/>
        <v>170.86695906726709</v>
      </c>
      <c r="S37" s="84">
        <f t="shared" si="6"/>
        <v>174.48928203842414</v>
      </c>
      <c r="T37" s="84">
        <f t="shared" si="6"/>
        <v>178.1891760637497</v>
      </c>
      <c r="U37" s="84">
        <f t="shared" si="6"/>
        <v>181.96832067919564</v>
      </c>
      <c r="V37" s="84">
        <f t="shared" si="6"/>
        <v>0</v>
      </c>
    </row>
    <row r="38" spans="1:22" ht="15" customHeight="1" x14ac:dyDescent="0.2">
      <c r="A38" s="12" t="s">
        <v>684</v>
      </c>
      <c r="B38" s="96">
        <f t="shared" ref="B38:V38" si="7">B20+B27-B34</f>
        <v>0</v>
      </c>
      <c r="C38" s="96">
        <f t="shared" si="7"/>
        <v>0</v>
      </c>
      <c r="D38" s="96">
        <f t="shared" si="7"/>
        <v>0</v>
      </c>
      <c r="E38" s="96">
        <f t="shared" si="7"/>
        <v>80.196493455101418</v>
      </c>
      <c r="F38" s="96">
        <f t="shared" si="7"/>
        <v>80.531782821797151</v>
      </c>
      <c r="G38" s="96">
        <f t="shared" si="7"/>
        <v>67.390708469186279</v>
      </c>
      <c r="H38" s="96">
        <f t="shared" si="7"/>
        <v>67.673054680839016</v>
      </c>
      <c r="I38" s="96">
        <f t="shared" si="7"/>
        <v>67.956832743973962</v>
      </c>
      <c r="J38" s="96">
        <f t="shared" si="7"/>
        <v>66.466320574760346</v>
      </c>
      <c r="K38" s="96">
        <f t="shared" si="7"/>
        <v>66.571547636401306</v>
      </c>
      <c r="L38" s="96">
        <f t="shared" si="7"/>
        <v>66.67729051697188</v>
      </c>
      <c r="M38" s="96">
        <f t="shared" si="7"/>
        <v>66.783551744996259</v>
      </c>
      <c r="N38" s="96">
        <f t="shared" si="7"/>
        <v>66.890333861393344</v>
      </c>
      <c r="O38" s="96">
        <f t="shared" si="7"/>
        <v>66.997639419537393</v>
      </c>
      <c r="P38" s="96">
        <f t="shared" si="7"/>
        <v>67.105470985319471</v>
      </c>
      <c r="Q38" s="96">
        <f t="shared" si="7"/>
        <v>67.213831137208274</v>
      </c>
      <c r="R38" s="96">
        <f t="shared" si="7"/>
        <v>67.322722466312257</v>
      </c>
      <c r="S38" s="96">
        <f t="shared" si="7"/>
        <v>67.432147576441182</v>
      </c>
      <c r="T38" s="96">
        <f t="shared" si="7"/>
        <v>67.542109084168857</v>
      </c>
      <c r="U38" s="96">
        <f t="shared" si="7"/>
        <v>67.652609618895184</v>
      </c>
      <c r="V38" s="96">
        <f t="shared" si="7"/>
        <v>0</v>
      </c>
    </row>
    <row r="39" spans="1:22" ht="15" customHeight="1" x14ac:dyDescent="0.2">
      <c r="A39" s="12" t="s">
        <v>685</v>
      </c>
      <c r="B39" s="97">
        <f t="shared" ref="B39:V39" si="8">IF(B11&gt;0,B37/B11,0)</f>
        <v>0</v>
      </c>
      <c r="C39" s="97">
        <f t="shared" si="8"/>
        <v>0</v>
      </c>
      <c r="D39" s="97">
        <f t="shared" si="8"/>
        <v>0</v>
      </c>
      <c r="E39" s="97">
        <f t="shared" si="8"/>
        <v>0.23664397387692843</v>
      </c>
      <c r="F39" s="97">
        <f t="shared" si="8"/>
        <v>0.23735844132498629</v>
      </c>
      <c r="G39" s="97">
        <f t="shared" si="8"/>
        <v>0.19839724787954466</v>
      </c>
      <c r="H39" s="97">
        <f t="shared" si="8"/>
        <v>0.19899889886327948</v>
      </c>
      <c r="I39" s="97">
        <f t="shared" si="8"/>
        <v>0.19960360097650465</v>
      </c>
      <c r="J39" s="97">
        <f t="shared" si="8"/>
        <v>0.19642747154439036</v>
      </c>
      <c r="K39" s="97">
        <f t="shared" si="8"/>
        <v>0.1966516996818293</v>
      </c>
      <c r="L39" s="97">
        <f t="shared" si="8"/>
        <v>0.19687702697680468</v>
      </c>
      <c r="M39" s="97">
        <f t="shared" si="8"/>
        <v>0.19710345881734365</v>
      </c>
      <c r="N39" s="97">
        <f t="shared" si="8"/>
        <v>0.1973310006178853</v>
      </c>
      <c r="O39" s="97">
        <f t="shared" si="8"/>
        <v>0.19755965781941001</v>
      </c>
      <c r="P39" s="97">
        <f t="shared" si="8"/>
        <v>0.1977894358895696</v>
      </c>
      <c r="Q39" s="97">
        <f t="shared" si="8"/>
        <v>0.19802034032281829</v>
      </c>
      <c r="R39" s="97">
        <f t="shared" si="8"/>
        <v>0.19825237664054357</v>
      </c>
      <c r="S39" s="97">
        <f t="shared" si="8"/>
        <v>0.19848555039119886</v>
      </c>
      <c r="T39" s="97">
        <f t="shared" si="8"/>
        <v>0.19871986715043591</v>
      </c>
      <c r="U39" s="97">
        <f t="shared" si="8"/>
        <v>0.19895533252123782</v>
      </c>
      <c r="V39" s="97">
        <f t="shared" si="8"/>
        <v>0</v>
      </c>
    </row>
    <row r="41" spans="1:22" ht="15" customHeight="1" x14ac:dyDescent="0.2">
      <c r="A41" s="15" t="s">
        <v>686</v>
      </c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</row>
    <row r="42" spans="1:22" ht="15" customHeight="1" x14ac:dyDescent="0.2">
      <c r="A42" s="5" t="s">
        <v>687</v>
      </c>
      <c r="B42" s="78">
        <f>-B19</f>
        <v>0</v>
      </c>
      <c r="C42" s="78">
        <f t="shared" ref="C42:V42" si="9">-(C19-B19)</f>
        <v>0</v>
      </c>
      <c r="D42" s="78">
        <f t="shared" si="9"/>
        <v>0</v>
      </c>
      <c r="E42" s="78">
        <f t="shared" si="9"/>
        <v>-80.74324973612157</v>
      </c>
      <c r="F42" s="78">
        <f t="shared" si="9"/>
        <v>-42.276433452411425</v>
      </c>
      <c r="G42" s="78">
        <f t="shared" si="9"/>
        <v>-1.9472064177671342</v>
      </c>
      <c r="H42" s="78">
        <f t="shared" si="9"/>
        <v>-16.096943011139103</v>
      </c>
      <c r="I42" s="78">
        <f t="shared" si="9"/>
        <v>-2.2609893085972601</v>
      </c>
      <c r="J42" s="78">
        <f t="shared" si="9"/>
        <v>-10.779792308459406</v>
      </c>
      <c r="K42" s="78">
        <f t="shared" si="9"/>
        <v>-3.2984005251245776</v>
      </c>
      <c r="L42" s="78">
        <f t="shared" si="9"/>
        <v>-3.3697762416379078</v>
      </c>
      <c r="M42" s="78">
        <f t="shared" si="9"/>
        <v>-3.4427146651317457</v>
      </c>
      <c r="N42" s="78">
        <f t="shared" si="9"/>
        <v>-3.5172504295621536</v>
      </c>
      <c r="O42" s="78">
        <f t="shared" si="9"/>
        <v>-3.5934189460591881</v>
      </c>
      <c r="P42" s="78">
        <f t="shared" si="9"/>
        <v>-3.6712564205839158</v>
      </c>
      <c r="Q42" s="78">
        <f t="shared" si="9"/>
        <v>-3.7507998719891589</v>
      </c>
      <c r="R42" s="78">
        <f t="shared" si="9"/>
        <v>-3.832087150497415</v>
      </c>
      <c r="S42" s="78">
        <f t="shared" si="9"/>
        <v>-3.9151569566024023</v>
      </c>
      <c r="T42" s="78">
        <f t="shared" si="9"/>
        <v>-4.0000488604070767</v>
      </c>
      <c r="U42" s="78">
        <f t="shared" si="9"/>
        <v>-4.0868033214044885</v>
      </c>
      <c r="V42" s="78">
        <f t="shared" si="9"/>
        <v>194.58232762349593</v>
      </c>
    </row>
    <row r="43" spans="1:22" ht="15" customHeight="1" x14ac:dyDescent="0.2">
      <c r="A43" s="5" t="s">
        <v>688</v>
      </c>
      <c r="B43" s="78">
        <f>-B26</f>
        <v>0</v>
      </c>
      <c r="C43" s="78">
        <f t="shared" ref="C43:V43" si="10">-(C26-B26)</f>
        <v>0</v>
      </c>
      <c r="D43" s="78">
        <f t="shared" si="10"/>
        <v>0</v>
      </c>
      <c r="E43" s="78">
        <f t="shared" si="10"/>
        <v>-40.786126027397259</v>
      </c>
      <c r="F43" s="78">
        <f t="shared" si="10"/>
        <v>-21.922542739726012</v>
      </c>
      <c r="G43" s="78">
        <f t="shared" si="10"/>
        <v>-1.5677167191780796</v>
      </c>
      <c r="H43" s="78">
        <f t="shared" si="10"/>
        <v>-8.9272757619862944</v>
      </c>
      <c r="I43" s="78">
        <f t="shared" si="10"/>
        <v>-1.8300915312072021</v>
      </c>
      <c r="J43" s="78">
        <f t="shared" si="10"/>
        <v>-1.8758438194873577</v>
      </c>
      <c r="K43" s="78">
        <f t="shared" si="10"/>
        <v>-1.9227399149745423</v>
      </c>
      <c r="L43" s="78">
        <f t="shared" si="10"/>
        <v>-1.9708084128489105</v>
      </c>
      <c r="M43" s="78">
        <f t="shared" si="10"/>
        <v>-2.0200786231701358</v>
      </c>
      <c r="N43" s="78">
        <f t="shared" si="10"/>
        <v>-2.0705805887493938</v>
      </c>
      <c r="O43" s="78">
        <f t="shared" si="10"/>
        <v>-2.1223451034681204</v>
      </c>
      <c r="P43" s="78">
        <f t="shared" si="10"/>
        <v>-2.1754037310548284</v>
      </c>
      <c r="Q43" s="78">
        <f t="shared" si="10"/>
        <v>-2.2297888243312087</v>
      </c>
      <c r="R43" s="78">
        <f t="shared" si="10"/>
        <v>-2.2855335449394829</v>
      </c>
      <c r="S43" s="78">
        <f t="shared" si="10"/>
        <v>-2.3426718835629572</v>
      </c>
      <c r="T43" s="78">
        <f t="shared" si="10"/>
        <v>-2.4012386806520425</v>
      </c>
      <c r="U43" s="78">
        <f t="shared" si="10"/>
        <v>-2.4612696476683595</v>
      </c>
      <c r="V43" s="78">
        <f t="shared" si="10"/>
        <v>100.91205555440219</v>
      </c>
    </row>
    <row r="44" spans="1:22" ht="15" customHeight="1" x14ac:dyDescent="0.2">
      <c r="A44" s="5" t="s">
        <v>689</v>
      </c>
      <c r="B44" s="78">
        <f>B33</f>
        <v>0</v>
      </c>
      <c r="C44" s="78">
        <f t="shared" ref="C44:V44" si="11">C33-B33</f>
        <v>0</v>
      </c>
      <c r="D44" s="78">
        <f t="shared" si="11"/>
        <v>0</v>
      </c>
      <c r="E44" s="78">
        <f t="shared" si="11"/>
        <v>45.884391780821908</v>
      </c>
      <c r="F44" s="78">
        <f t="shared" si="11"/>
        <v>24.662860582191776</v>
      </c>
      <c r="G44" s="78">
        <f t="shared" si="11"/>
        <v>1.7636813090753378</v>
      </c>
      <c r="H44" s="78">
        <f t="shared" si="11"/>
        <v>10.043185232234578</v>
      </c>
      <c r="I44" s="78">
        <f t="shared" si="11"/>
        <v>2.0588529726080935</v>
      </c>
      <c r="J44" s="78">
        <f t="shared" si="11"/>
        <v>2.1103242969232809</v>
      </c>
      <c r="K44" s="78">
        <f t="shared" si="11"/>
        <v>2.163082404346369</v>
      </c>
      <c r="L44" s="78">
        <f t="shared" si="11"/>
        <v>2.2171594644550368</v>
      </c>
      <c r="M44" s="78">
        <f t="shared" si="11"/>
        <v>2.2725884510663832</v>
      </c>
      <c r="N44" s="78">
        <f t="shared" si="11"/>
        <v>2.3294031623430698</v>
      </c>
      <c r="O44" s="78">
        <f t="shared" si="11"/>
        <v>2.3876382414016319</v>
      </c>
      <c r="P44" s="78">
        <f t="shared" si="11"/>
        <v>2.4473291974367015</v>
      </c>
      <c r="Q44" s="78">
        <f t="shared" si="11"/>
        <v>2.5085124273725938</v>
      </c>
      <c r="R44" s="78">
        <f t="shared" si="11"/>
        <v>2.5712252380569254</v>
      </c>
      <c r="S44" s="78">
        <f t="shared" si="11"/>
        <v>2.6355058690083268</v>
      </c>
      <c r="T44" s="78">
        <f t="shared" si="11"/>
        <v>2.7013935157335567</v>
      </c>
      <c r="U44" s="78">
        <f t="shared" si="11"/>
        <v>2.7689283536268903</v>
      </c>
      <c r="V44" s="78">
        <f t="shared" si="11"/>
        <v>-113.52606249870246</v>
      </c>
    </row>
    <row r="45" spans="1:22" ht="15" customHeight="1" x14ac:dyDescent="0.2">
      <c r="A45" s="35" t="s">
        <v>690</v>
      </c>
      <c r="B45" s="84">
        <f t="shared" ref="B45:V45" si="12">B42+B43+B44</f>
        <v>0</v>
      </c>
      <c r="C45" s="84">
        <f t="shared" si="12"/>
        <v>0</v>
      </c>
      <c r="D45" s="84">
        <f t="shared" si="12"/>
        <v>0</v>
      </c>
      <c r="E45" s="84">
        <f t="shared" si="12"/>
        <v>-75.644983982696914</v>
      </c>
      <c r="F45" s="84">
        <f t="shared" si="12"/>
        <v>-39.536115609945661</v>
      </c>
      <c r="G45" s="84">
        <f t="shared" si="12"/>
        <v>-1.751241827869876</v>
      </c>
      <c r="H45" s="84">
        <f t="shared" si="12"/>
        <v>-14.98103354089082</v>
      </c>
      <c r="I45" s="84">
        <f t="shared" si="12"/>
        <v>-2.0322278671963687</v>
      </c>
      <c r="J45" s="84">
        <f t="shared" si="12"/>
        <v>-10.545311831023483</v>
      </c>
      <c r="K45" s="84">
        <f t="shared" si="12"/>
        <v>-3.0580580357527509</v>
      </c>
      <c r="L45" s="84">
        <f t="shared" si="12"/>
        <v>-3.1234251900317815</v>
      </c>
      <c r="M45" s="84">
        <f t="shared" si="12"/>
        <v>-3.1902048372354983</v>
      </c>
      <c r="N45" s="84">
        <f t="shared" si="12"/>
        <v>-3.2584278559684776</v>
      </c>
      <c r="O45" s="84">
        <f t="shared" si="12"/>
        <v>-3.3281258081256766</v>
      </c>
      <c r="P45" s="84">
        <f t="shared" si="12"/>
        <v>-3.3993309542020427</v>
      </c>
      <c r="Q45" s="84">
        <f t="shared" si="12"/>
        <v>-3.4720762689477738</v>
      </c>
      <c r="R45" s="84">
        <f t="shared" si="12"/>
        <v>-3.5463954573799725</v>
      </c>
      <c r="S45" s="84">
        <f t="shared" si="12"/>
        <v>-3.6223229711570326</v>
      </c>
      <c r="T45" s="84">
        <f t="shared" si="12"/>
        <v>-3.6998940253255626</v>
      </c>
      <c r="U45" s="84">
        <f t="shared" si="12"/>
        <v>-3.7791446154459578</v>
      </c>
      <c r="V45" s="84">
        <f t="shared" si="12"/>
        <v>181.96832067919564</v>
      </c>
    </row>
    <row r="47" spans="1:22" ht="15" customHeight="1" x14ac:dyDescent="0.2">
      <c r="A47" s="35" t="s">
        <v>691</v>
      </c>
      <c r="B47" s="86">
        <f>IF(B4=Assumptions!B4+Assumptions!B6-1,B37*Assumptions!B152,0)</f>
        <v>0</v>
      </c>
      <c r="C47" s="86">
        <f>IF(C4=Assumptions!B4+Assumptions!B6-1,C37*Assumptions!B152,0)</f>
        <v>0</v>
      </c>
      <c r="D47" s="86">
        <f>IF(D4=Assumptions!B4+Assumptions!B6-1,D37*Assumptions!B152,0)</f>
        <v>0</v>
      </c>
      <c r="E47" s="86">
        <f>IF(E4=Assumptions!B4+Assumptions!B6-1,E37*Assumptions!B152,0)</f>
        <v>0</v>
      </c>
      <c r="F47" s="86">
        <f>IF(F4=Assumptions!B4+Assumptions!B6-1,F37*Assumptions!B152,0)</f>
        <v>0</v>
      </c>
      <c r="G47" s="86">
        <f>IF(G4=Assumptions!B4+Assumptions!B6-1,G37*Assumptions!B152,0)</f>
        <v>0</v>
      </c>
      <c r="H47" s="86">
        <f>IF(H4=Assumptions!B4+Assumptions!B6-1,H37*Assumptions!B152,0)</f>
        <v>0</v>
      </c>
      <c r="I47" s="86">
        <f>IF(I4=Assumptions!B4+Assumptions!B6-1,I37*Assumptions!B152,0)</f>
        <v>0</v>
      </c>
      <c r="J47" s="86">
        <f>IF(J4=Assumptions!B4+Assumptions!B6-1,J37*Assumptions!B152,0)</f>
        <v>0</v>
      </c>
      <c r="K47" s="86">
        <f>IF(K4=Assumptions!B4+Assumptions!B6-1,K37*Assumptions!B152,0)</f>
        <v>0</v>
      </c>
      <c r="L47" s="86">
        <f>IF(L4=Assumptions!B4+Assumptions!B6-1,L37*Assumptions!B152,0)</f>
        <v>0</v>
      </c>
      <c r="M47" s="86">
        <f>IF(M4=Assumptions!B4+Assumptions!B6-1,M37*Assumptions!B152,0)</f>
        <v>0</v>
      </c>
      <c r="N47" s="86">
        <f>IF(N4=Assumptions!B4+Assumptions!B6-1,N37*Assumptions!B152,0)</f>
        <v>0</v>
      </c>
      <c r="O47" s="86">
        <f>IF(O4=Assumptions!B4+Assumptions!B6-1,O37*Assumptions!B152,0)</f>
        <v>0</v>
      </c>
      <c r="P47" s="86">
        <f>IF(P4=Assumptions!B4+Assumptions!B6-1,P37*Assumptions!B152,0)</f>
        <v>0</v>
      </c>
      <c r="Q47" s="86">
        <f>IF(Q4=Assumptions!B4+Assumptions!B6-1,Q37*Assumptions!B152,0)</f>
        <v>0</v>
      </c>
      <c r="R47" s="86">
        <f>IF(R4=Assumptions!B4+Assumptions!B6-1,R37*Assumptions!B152,0)</f>
        <v>0</v>
      </c>
      <c r="S47" s="86">
        <f>IF(S4=Assumptions!B4+Assumptions!B6-1,S37*Assumptions!B152,0)</f>
        <v>0</v>
      </c>
      <c r="T47" s="86">
        <f>IF(T4=Assumptions!B4+Assumptions!B6-1,T37*Assumptions!B152,0)</f>
        <v>0</v>
      </c>
      <c r="U47" s="86">
        <f>IF(U4=Assumptions!B4+Assumptions!B6-1,U37*Assumptions!B152,0)</f>
        <v>0</v>
      </c>
      <c r="V47" s="86">
        <f>IF(V4=Assumptions!B4+Assumptions!B6-1,V37*Assumptions!B152,0)</f>
        <v>0</v>
      </c>
    </row>
    <row r="49" spans="1:22" ht="15" customHeight="1" x14ac:dyDescent="0.2">
      <c r="A49" s="35" t="s">
        <v>692</v>
      </c>
      <c r="B49" s="87">
        <f t="shared" ref="B49:V49" si="13">B45+B47</f>
        <v>0</v>
      </c>
      <c r="C49" s="87">
        <f t="shared" si="13"/>
        <v>0</v>
      </c>
      <c r="D49" s="87">
        <f t="shared" si="13"/>
        <v>0</v>
      </c>
      <c r="E49" s="87">
        <f t="shared" si="13"/>
        <v>-75.644983982696914</v>
      </c>
      <c r="F49" s="87">
        <f t="shared" si="13"/>
        <v>-39.536115609945661</v>
      </c>
      <c r="G49" s="87">
        <f t="shared" si="13"/>
        <v>-1.751241827869876</v>
      </c>
      <c r="H49" s="87">
        <f t="shared" si="13"/>
        <v>-14.98103354089082</v>
      </c>
      <c r="I49" s="87">
        <f t="shared" si="13"/>
        <v>-2.0322278671963687</v>
      </c>
      <c r="J49" s="87">
        <f t="shared" si="13"/>
        <v>-10.545311831023483</v>
      </c>
      <c r="K49" s="87">
        <f t="shared" si="13"/>
        <v>-3.0580580357527509</v>
      </c>
      <c r="L49" s="87">
        <f t="shared" si="13"/>
        <v>-3.1234251900317815</v>
      </c>
      <c r="M49" s="87">
        <f t="shared" si="13"/>
        <v>-3.1902048372354983</v>
      </c>
      <c r="N49" s="87">
        <f t="shared" si="13"/>
        <v>-3.2584278559684776</v>
      </c>
      <c r="O49" s="87">
        <f t="shared" si="13"/>
        <v>-3.3281258081256766</v>
      </c>
      <c r="P49" s="87">
        <f t="shared" si="13"/>
        <v>-3.3993309542020427</v>
      </c>
      <c r="Q49" s="87">
        <f t="shared" si="13"/>
        <v>-3.4720762689477738</v>
      </c>
      <c r="R49" s="87">
        <f t="shared" si="13"/>
        <v>-3.5463954573799725</v>
      </c>
      <c r="S49" s="87">
        <f t="shared" si="13"/>
        <v>-3.6223229711570326</v>
      </c>
      <c r="T49" s="87">
        <f t="shared" si="13"/>
        <v>-3.6998940253255626</v>
      </c>
      <c r="U49" s="87">
        <f t="shared" si="13"/>
        <v>-3.7791446154459578</v>
      </c>
      <c r="V49" s="87">
        <f t="shared" si="13"/>
        <v>181.96832067919564</v>
      </c>
    </row>
    <row r="50" spans="1:22" ht="15" customHeight="1" x14ac:dyDescent="0.2">
      <c r="A50" s="5" t="s">
        <v>693</v>
      </c>
      <c r="B50" s="78">
        <f>-B49</f>
        <v>0</v>
      </c>
      <c r="C50" s="78">
        <f t="shared" ref="C50:V50" si="14">B50-C49</f>
        <v>0</v>
      </c>
      <c r="D50" s="78">
        <f t="shared" si="14"/>
        <v>0</v>
      </c>
      <c r="E50" s="78">
        <f t="shared" si="14"/>
        <v>75.644983982696914</v>
      </c>
      <c r="F50" s="78">
        <f t="shared" si="14"/>
        <v>115.18109959264257</v>
      </c>
      <c r="G50" s="78">
        <f t="shared" si="14"/>
        <v>116.93234142051244</v>
      </c>
      <c r="H50" s="78">
        <f t="shared" si="14"/>
        <v>131.91337496140326</v>
      </c>
      <c r="I50" s="78">
        <f t="shared" si="14"/>
        <v>133.94560282859965</v>
      </c>
      <c r="J50" s="78">
        <f t="shared" si="14"/>
        <v>144.49091465962312</v>
      </c>
      <c r="K50" s="78">
        <f t="shared" si="14"/>
        <v>147.54897269537588</v>
      </c>
      <c r="L50" s="78">
        <f t="shared" si="14"/>
        <v>150.67239788540766</v>
      </c>
      <c r="M50" s="78">
        <f t="shared" si="14"/>
        <v>153.86260272264315</v>
      </c>
      <c r="N50" s="78">
        <f t="shared" si="14"/>
        <v>157.12103057861162</v>
      </c>
      <c r="O50" s="78">
        <f t="shared" si="14"/>
        <v>160.44915638673729</v>
      </c>
      <c r="P50" s="78">
        <f t="shared" si="14"/>
        <v>163.84848734093933</v>
      </c>
      <c r="Q50" s="78">
        <f t="shared" si="14"/>
        <v>167.3205636098871</v>
      </c>
      <c r="R50" s="78">
        <f t="shared" si="14"/>
        <v>170.86695906726709</v>
      </c>
      <c r="S50" s="78">
        <f t="shared" si="14"/>
        <v>174.48928203842411</v>
      </c>
      <c r="T50" s="78">
        <f t="shared" si="14"/>
        <v>178.18917606374967</v>
      </c>
      <c r="U50" s="78">
        <f t="shared" si="14"/>
        <v>181.96832067919564</v>
      </c>
      <c r="V50" s="78">
        <f t="shared" si="14"/>
        <v>0</v>
      </c>
    </row>
  </sheetData>
  <pageMargins left="0.75" right="0.75" top="1" bottom="1" header="0.511811023622047" footer="0.511811023622047"/>
  <pageSetup paperSize="9"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C00000"/>
  </sheetPr>
  <dimension ref="A1:V39"/>
  <sheetViews>
    <sheetView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baseColWidth="10" defaultColWidth="8.6640625" defaultRowHeight="15" x14ac:dyDescent="0.2"/>
  <cols>
    <col min="1" max="1" width="44" customWidth="1"/>
    <col min="2" max="22" width="14" customWidth="1"/>
  </cols>
  <sheetData>
    <row r="1" spans="1:22" ht="17.25" customHeight="1" x14ac:dyDescent="0.2">
      <c r="A1" s="2" t="s">
        <v>694</v>
      </c>
    </row>
    <row r="3" spans="1:22" ht="15" customHeight="1" x14ac:dyDescent="0.2">
      <c r="A3" s="39" t="s">
        <v>535</v>
      </c>
      <c r="B3" s="69">
        <f>Assumptions!B4+0</f>
        <v>2025</v>
      </c>
      <c r="C3" s="69">
        <f>Assumptions!B4+1</f>
        <v>2026</v>
      </c>
      <c r="D3" s="69">
        <f>Assumptions!B4+2</f>
        <v>2027</v>
      </c>
      <c r="E3" s="69">
        <f>Assumptions!B4+3</f>
        <v>2028</v>
      </c>
      <c r="F3" s="69">
        <f>Assumptions!B4+4</f>
        <v>2029</v>
      </c>
      <c r="G3" s="69">
        <f>Assumptions!B4+5</f>
        <v>2030</v>
      </c>
      <c r="H3" s="69">
        <f>Assumptions!B4+6</f>
        <v>2031</v>
      </c>
      <c r="I3" s="69">
        <f>Assumptions!B4+7</f>
        <v>2032</v>
      </c>
      <c r="J3" s="69">
        <f>Assumptions!B4+8</f>
        <v>2033</v>
      </c>
      <c r="K3" s="69">
        <f>Assumptions!B4+9</f>
        <v>2034</v>
      </c>
      <c r="L3" s="69">
        <f>Assumptions!B4+10</f>
        <v>2035</v>
      </c>
      <c r="M3" s="69">
        <f>Assumptions!B4+11</f>
        <v>2036</v>
      </c>
      <c r="N3" s="69">
        <f>Assumptions!B4+12</f>
        <v>2037</v>
      </c>
      <c r="O3" s="69">
        <f>Assumptions!B4+13</f>
        <v>2038</v>
      </c>
      <c r="P3" s="69">
        <f>Assumptions!B4+14</f>
        <v>2039</v>
      </c>
      <c r="Q3" s="69">
        <f>Assumptions!B4+15</f>
        <v>2040</v>
      </c>
      <c r="R3" s="69">
        <f>Assumptions!B4+16</f>
        <v>2041</v>
      </c>
      <c r="S3" s="69">
        <f>Assumptions!B4+17</f>
        <v>2042</v>
      </c>
      <c r="T3" s="69">
        <f>Assumptions!B4+18</f>
        <v>2043</v>
      </c>
      <c r="U3" s="69">
        <f>Assumptions!B4+19</f>
        <v>2044</v>
      </c>
      <c r="V3" s="69">
        <f>Assumptions!B4+20</f>
        <v>2045</v>
      </c>
    </row>
    <row r="4" spans="1:22" ht="15" customHeight="1" x14ac:dyDescent="0.2">
      <c r="A4" s="7" t="s">
        <v>536</v>
      </c>
      <c r="B4" s="70">
        <v>0</v>
      </c>
      <c r="C4" s="70">
        <v>1</v>
      </c>
      <c r="D4" s="70">
        <v>2</v>
      </c>
      <c r="E4" s="70">
        <v>3</v>
      </c>
      <c r="F4" s="70">
        <v>4</v>
      </c>
      <c r="G4" s="70">
        <v>5</v>
      </c>
      <c r="H4" s="70">
        <v>6</v>
      </c>
      <c r="I4" s="70">
        <v>7</v>
      </c>
      <c r="J4" s="70">
        <v>8</v>
      </c>
      <c r="K4" s="70">
        <v>9</v>
      </c>
      <c r="L4" s="70">
        <v>10</v>
      </c>
      <c r="M4" s="70">
        <v>11</v>
      </c>
      <c r="N4" s="70">
        <v>12</v>
      </c>
      <c r="O4" s="70">
        <v>13</v>
      </c>
      <c r="P4" s="70">
        <v>14</v>
      </c>
      <c r="Q4" s="70">
        <v>15</v>
      </c>
      <c r="R4" s="70">
        <v>16</v>
      </c>
      <c r="S4" s="70">
        <v>17</v>
      </c>
      <c r="T4" s="70">
        <v>18</v>
      </c>
      <c r="U4" s="70">
        <v>19</v>
      </c>
      <c r="V4" s="70">
        <v>20</v>
      </c>
    </row>
    <row r="6" spans="1:22" ht="15" customHeight="1" x14ac:dyDescent="0.2">
      <c r="A6" s="25" t="s">
        <v>695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</row>
    <row r="7" spans="1:22" ht="15" customHeight="1" x14ac:dyDescent="0.2">
      <c r="A7" s="5" t="s">
        <v>696</v>
      </c>
      <c r="B7" s="78">
        <f>Assumptions!B73*Assumptions!B84</f>
        <v>487.5</v>
      </c>
      <c r="C7" s="78">
        <f>Assumptions!B73*Assumptions!B84</f>
        <v>487.5</v>
      </c>
      <c r="D7" s="78">
        <f>Assumptions!B73*Assumptions!B84</f>
        <v>487.5</v>
      </c>
      <c r="E7" s="78">
        <f>Assumptions!B73*Assumptions!B84</f>
        <v>487.5</v>
      </c>
      <c r="F7" s="78">
        <f>Assumptions!B73*Assumptions!B84</f>
        <v>487.5</v>
      </c>
      <c r="G7" s="78">
        <f>Assumptions!B73*Assumptions!B84</f>
        <v>487.5</v>
      </c>
      <c r="H7" s="78">
        <f>Assumptions!B73*Assumptions!B84</f>
        <v>487.5</v>
      </c>
      <c r="I7" s="78">
        <f>Assumptions!B73*Assumptions!B84</f>
        <v>487.5</v>
      </c>
      <c r="J7" s="78">
        <f>Assumptions!B73*Assumptions!B84</f>
        <v>487.5</v>
      </c>
      <c r="K7" s="78">
        <f>Assumptions!B73*Assumptions!B84</f>
        <v>487.5</v>
      </c>
      <c r="L7" s="78">
        <f>Assumptions!B73*Assumptions!B84</f>
        <v>487.5</v>
      </c>
      <c r="M7" s="78">
        <f>Assumptions!B73*Assumptions!B84</f>
        <v>487.5</v>
      </c>
      <c r="N7" s="78">
        <f>Assumptions!B73*Assumptions!B84</f>
        <v>487.5</v>
      </c>
      <c r="O7" s="78">
        <f>Assumptions!B73*Assumptions!B84</f>
        <v>487.5</v>
      </c>
      <c r="P7" s="78">
        <f>Assumptions!B73*Assumptions!B84</f>
        <v>487.5</v>
      </c>
      <c r="Q7" s="78">
        <f>Assumptions!B73*Assumptions!B84</f>
        <v>487.5</v>
      </c>
      <c r="R7" s="78">
        <f>Assumptions!B73*Assumptions!B84</f>
        <v>487.5</v>
      </c>
      <c r="S7" s="78">
        <f>Assumptions!B73*Assumptions!B84</f>
        <v>487.5</v>
      </c>
      <c r="T7" s="78">
        <f>Assumptions!B73*Assumptions!B84</f>
        <v>487.5</v>
      </c>
      <c r="U7" s="78">
        <f>Assumptions!B73*Assumptions!B84</f>
        <v>487.5</v>
      </c>
      <c r="V7" s="78">
        <f>Assumptions!B73*Assumptions!B84</f>
        <v>487.5</v>
      </c>
    </row>
    <row r="8" spans="1:22" ht="15" customHeight="1" x14ac:dyDescent="0.2">
      <c r="A8" s="5" t="s">
        <v>697</v>
      </c>
      <c r="B8" s="78">
        <f>'Project Cash Flow'!B26*Assumptions!B84</f>
        <v>146.25</v>
      </c>
      <c r="C8" s="78">
        <f>'Project Cash Flow'!C26*Assumptions!B84</f>
        <v>219.375</v>
      </c>
      <c r="D8" s="78">
        <f>'Project Cash Flow'!D26*Assumptions!B84</f>
        <v>121.875</v>
      </c>
      <c r="E8" s="78">
        <f>'Project Cash Flow'!E26*Assumptions!B84</f>
        <v>0</v>
      </c>
      <c r="F8" s="78">
        <f>'Project Cash Flow'!F26*Assumptions!B84</f>
        <v>0</v>
      </c>
      <c r="G8" s="78">
        <f>'Project Cash Flow'!G26*Assumptions!B84</f>
        <v>0</v>
      </c>
      <c r="H8" s="78">
        <f>'Project Cash Flow'!H26*Assumptions!B84</f>
        <v>0</v>
      </c>
      <c r="I8" s="78">
        <f>'Project Cash Flow'!I26*Assumptions!B84</f>
        <v>0</v>
      </c>
      <c r="J8" s="78">
        <f>'Project Cash Flow'!J26*Assumptions!B84</f>
        <v>0</v>
      </c>
      <c r="K8" s="78">
        <f>'Project Cash Flow'!K26*Assumptions!B84</f>
        <v>0</v>
      </c>
      <c r="L8" s="78">
        <f>'Project Cash Flow'!L26*Assumptions!B84</f>
        <v>0</v>
      </c>
      <c r="M8" s="78">
        <f>'Project Cash Flow'!M26*Assumptions!B84</f>
        <v>0</v>
      </c>
      <c r="N8" s="78">
        <f>'Project Cash Flow'!N26*Assumptions!B84</f>
        <v>0</v>
      </c>
      <c r="O8" s="78">
        <f>'Project Cash Flow'!O26*Assumptions!B84</f>
        <v>0</v>
      </c>
      <c r="P8" s="78">
        <f>'Project Cash Flow'!P26*Assumptions!B84</f>
        <v>0</v>
      </c>
      <c r="Q8" s="78">
        <f>'Project Cash Flow'!Q26*Assumptions!B84</f>
        <v>0</v>
      </c>
      <c r="R8" s="78">
        <f>'Project Cash Flow'!R26*Assumptions!B84</f>
        <v>0</v>
      </c>
      <c r="S8" s="78">
        <f>'Project Cash Flow'!S26*Assumptions!B84</f>
        <v>0</v>
      </c>
      <c r="T8" s="78">
        <f>'Project Cash Flow'!T26*Assumptions!B84</f>
        <v>0</v>
      </c>
      <c r="U8" s="78">
        <f>'Project Cash Flow'!U26*Assumptions!B84</f>
        <v>0</v>
      </c>
      <c r="V8" s="78">
        <f>'Project Cash Flow'!V26*Assumptions!B84</f>
        <v>0</v>
      </c>
    </row>
    <row r="10" spans="1:22" ht="15" customHeight="1" x14ac:dyDescent="0.2">
      <c r="A10" s="25" t="s">
        <v>698</v>
      </c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</row>
    <row r="11" spans="1:22" ht="15" customHeight="1" x14ac:dyDescent="0.2">
      <c r="A11" s="5" t="s">
        <v>699</v>
      </c>
      <c r="B11" s="78">
        <v>0</v>
      </c>
      <c r="C11" s="78">
        <f t="shared" ref="C11:V11" si="0">B14</f>
        <v>146.25</v>
      </c>
      <c r="D11" s="78">
        <f t="shared" si="0"/>
        <v>365.625</v>
      </c>
      <c r="E11" s="78">
        <f t="shared" si="0"/>
        <v>487.5</v>
      </c>
      <c r="F11" s="78">
        <f t="shared" si="0"/>
        <v>433.33333333333331</v>
      </c>
      <c r="G11" s="78">
        <f t="shared" si="0"/>
        <v>379.16666666666663</v>
      </c>
      <c r="H11" s="78">
        <f t="shared" si="0"/>
        <v>324.99999999999994</v>
      </c>
      <c r="I11" s="78">
        <f t="shared" si="0"/>
        <v>270.83333333333326</v>
      </c>
      <c r="J11" s="78">
        <f t="shared" si="0"/>
        <v>216.6666666666666</v>
      </c>
      <c r="K11" s="78">
        <f t="shared" si="0"/>
        <v>162.49999999999994</v>
      </c>
      <c r="L11" s="78">
        <f t="shared" si="0"/>
        <v>108.33333333333329</v>
      </c>
      <c r="M11" s="78">
        <f t="shared" si="0"/>
        <v>54.166666666666622</v>
      </c>
      <c r="N11" s="78">
        <f t="shared" si="0"/>
        <v>0</v>
      </c>
      <c r="O11" s="78">
        <f t="shared" si="0"/>
        <v>0</v>
      </c>
      <c r="P11" s="78">
        <f t="shared" si="0"/>
        <v>0</v>
      </c>
      <c r="Q11" s="78">
        <f t="shared" si="0"/>
        <v>0</v>
      </c>
      <c r="R11" s="78">
        <f t="shared" si="0"/>
        <v>0</v>
      </c>
      <c r="S11" s="78">
        <f t="shared" si="0"/>
        <v>0</v>
      </c>
      <c r="T11" s="78">
        <f t="shared" si="0"/>
        <v>0</v>
      </c>
      <c r="U11" s="78">
        <f t="shared" si="0"/>
        <v>0</v>
      </c>
      <c r="V11" s="78">
        <f t="shared" si="0"/>
        <v>0</v>
      </c>
    </row>
    <row r="12" spans="1:22" ht="15" customHeight="1" x14ac:dyDescent="0.2">
      <c r="A12" s="5" t="s">
        <v>700</v>
      </c>
      <c r="B12" s="78">
        <f t="shared" ref="B12:V12" si="1">B8</f>
        <v>146.25</v>
      </c>
      <c r="C12" s="78">
        <f t="shared" si="1"/>
        <v>219.375</v>
      </c>
      <c r="D12" s="78">
        <f t="shared" si="1"/>
        <v>121.875</v>
      </c>
      <c r="E12" s="78">
        <f t="shared" si="1"/>
        <v>0</v>
      </c>
      <c r="F12" s="78">
        <f t="shared" si="1"/>
        <v>0</v>
      </c>
      <c r="G12" s="78">
        <f t="shared" si="1"/>
        <v>0</v>
      </c>
      <c r="H12" s="78">
        <f t="shared" si="1"/>
        <v>0</v>
      </c>
      <c r="I12" s="78">
        <f t="shared" si="1"/>
        <v>0</v>
      </c>
      <c r="J12" s="78">
        <f t="shared" si="1"/>
        <v>0</v>
      </c>
      <c r="K12" s="78">
        <f t="shared" si="1"/>
        <v>0</v>
      </c>
      <c r="L12" s="78">
        <f t="shared" si="1"/>
        <v>0</v>
      </c>
      <c r="M12" s="78">
        <f t="shared" si="1"/>
        <v>0</v>
      </c>
      <c r="N12" s="78">
        <f t="shared" si="1"/>
        <v>0</v>
      </c>
      <c r="O12" s="78">
        <f t="shared" si="1"/>
        <v>0</v>
      </c>
      <c r="P12" s="78">
        <f t="shared" si="1"/>
        <v>0</v>
      </c>
      <c r="Q12" s="78">
        <f t="shared" si="1"/>
        <v>0</v>
      </c>
      <c r="R12" s="78">
        <f t="shared" si="1"/>
        <v>0</v>
      </c>
      <c r="S12" s="78">
        <f t="shared" si="1"/>
        <v>0</v>
      </c>
      <c r="T12" s="78">
        <f t="shared" si="1"/>
        <v>0</v>
      </c>
      <c r="U12" s="78">
        <f t="shared" si="1"/>
        <v>0</v>
      </c>
      <c r="V12" s="78">
        <f t="shared" si="1"/>
        <v>0</v>
      </c>
    </row>
    <row r="13" spans="1:22" ht="15" customHeight="1" x14ac:dyDescent="0.2">
      <c r="A13" s="5" t="s">
        <v>701</v>
      </c>
      <c r="B13" s="78">
        <f>IF(AND('Resource Depletion'!B8=1,B4-Assumptions!B4&lt;Assumptions!B86),-MIN(B11+B12,B7/(Assumptions!B86-Assumptions!B87)),0)</f>
        <v>0</v>
      </c>
      <c r="C13" s="78">
        <f>IF(AND('Resource Depletion'!C8=1,C4-Assumptions!B4&lt;Assumptions!B86),-MIN(C11+C12,B7/(Assumptions!B86-Assumptions!B87)),0)</f>
        <v>0</v>
      </c>
      <c r="D13" s="78">
        <f>IF(AND('Resource Depletion'!D8=1,D4-Assumptions!B4&lt;Assumptions!B86),-MIN(D11+D12,B7/(Assumptions!B86-Assumptions!B87)),0)</f>
        <v>0</v>
      </c>
      <c r="E13" s="78">
        <f>IF(AND('Resource Depletion'!E8=1,E4-Assumptions!B4&lt;Assumptions!B86),-MIN(E11+E12,B7/(Assumptions!B86-Assumptions!B87)),0)</f>
        <v>-54.166666666666664</v>
      </c>
      <c r="F13" s="78">
        <f>IF(AND('Resource Depletion'!F8=1,F4-Assumptions!B4&lt;Assumptions!B86),-MIN(F11+F12,B7/(Assumptions!B86-Assumptions!B87)),0)</f>
        <v>-54.166666666666664</v>
      </c>
      <c r="G13" s="78">
        <f>IF(AND('Resource Depletion'!G8=1,G4-Assumptions!B4&lt;Assumptions!B86),-MIN(G11+G12,B7/(Assumptions!B86-Assumptions!B87)),0)</f>
        <v>-54.166666666666664</v>
      </c>
      <c r="H13" s="78">
        <f>IF(AND('Resource Depletion'!H8=1,H4-Assumptions!B4&lt;Assumptions!B86),-MIN(H11+H12,B7/(Assumptions!B86-Assumptions!B87)),0)</f>
        <v>-54.166666666666664</v>
      </c>
      <c r="I13" s="78">
        <f>IF(AND('Resource Depletion'!I8=1,I4-Assumptions!B4&lt;Assumptions!B86),-MIN(I11+I12,B7/(Assumptions!B86-Assumptions!B87)),0)</f>
        <v>-54.166666666666664</v>
      </c>
      <c r="J13" s="78">
        <f>IF(AND('Resource Depletion'!J8=1,J4-Assumptions!B4&lt;Assumptions!B86),-MIN(J11+J12,B7/(Assumptions!B86-Assumptions!B87)),0)</f>
        <v>-54.166666666666664</v>
      </c>
      <c r="K13" s="78">
        <f>IF(AND('Resource Depletion'!K8=1,K4-Assumptions!B4&lt;Assumptions!B86),-MIN(K11+K12,B7/(Assumptions!B86-Assumptions!B87)),0)</f>
        <v>-54.166666666666664</v>
      </c>
      <c r="L13" s="78">
        <f>IF(AND('Resource Depletion'!L8=1,L4-Assumptions!B4&lt;Assumptions!B86),-MIN(L11+L12,B7/(Assumptions!B86-Assumptions!B87)),0)</f>
        <v>-54.166666666666664</v>
      </c>
      <c r="M13" s="78">
        <f>IF(AND('Resource Depletion'!M8=1,M4-Assumptions!B4&lt;Assumptions!B86),-MIN(M11+M12,B7/(Assumptions!B86-Assumptions!B87)),0)</f>
        <v>-54.166666666666622</v>
      </c>
      <c r="N13" s="78">
        <f>IF(AND('Resource Depletion'!N8=1,N4-Assumptions!B4&lt;Assumptions!B86),-MIN(N11+N12,B7/(Assumptions!B86-Assumptions!B87)),0)</f>
        <v>0</v>
      </c>
      <c r="O13" s="78">
        <f>IF(AND('Resource Depletion'!O8=1,O4-Assumptions!B4&lt;Assumptions!B86),-MIN(O11+O12,B7/(Assumptions!B86-Assumptions!B87)),0)</f>
        <v>0</v>
      </c>
      <c r="P13" s="78">
        <f>IF(AND('Resource Depletion'!P8=1,P4-Assumptions!B4&lt;Assumptions!B86),-MIN(P11+P12,B7/(Assumptions!B86-Assumptions!B87)),0)</f>
        <v>0</v>
      </c>
      <c r="Q13" s="78">
        <f>IF(AND('Resource Depletion'!Q8=1,Q4-Assumptions!B4&lt;Assumptions!B86),-MIN(Q11+Q12,B7/(Assumptions!B86-Assumptions!B87)),0)</f>
        <v>0</v>
      </c>
      <c r="R13" s="78">
        <f>IF(AND('Resource Depletion'!R8=1,R4-Assumptions!B4&lt;Assumptions!B86),-MIN(R11+R12,B7/(Assumptions!B86-Assumptions!B87)),0)</f>
        <v>0</v>
      </c>
      <c r="S13" s="78">
        <f>IF(AND('Resource Depletion'!S8=1,S4-Assumptions!B4&lt;Assumptions!B86),-MIN(S11+S12,B7/(Assumptions!B86-Assumptions!B87)),0)</f>
        <v>0</v>
      </c>
      <c r="T13" s="78">
        <f>IF(AND('Resource Depletion'!T8=1,T4-Assumptions!B4&lt;Assumptions!B86),-MIN(T11+T12,B7/(Assumptions!B86-Assumptions!B87)),0)</f>
        <v>0</v>
      </c>
      <c r="U13" s="78">
        <f>IF(AND('Resource Depletion'!U8=1,U4-Assumptions!B4&lt;Assumptions!B86),-MIN(U11+U12,B7/(Assumptions!B86-Assumptions!B87)),0)</f>
        <v>0</v>
      </c>
      <c r="V13" s="78">
        <f>IF(AND('Resource Depletion'!V8=1,V4-Assumptions!B4&lt;Assumptions!B86),-MIN(V11+V12,B7/(Assumptions!B86-Assumptions!B87)),0)</f>
        <v>0</v>
      </c>
    </row>
    <row r="14" spans="1:22" ht="15" customHeight="1" x14ac:dyDescent="0.2">
      <c r="A14" s="35" t="s">
        <v>702</v>
      </c>
      <c r="B14" s="87">
        <f t="shared" ref="B14:V14" si="2">MAX(0,B11+B12+B13)</f>
        <v>146.25</v>
      </c>
      <c r="C14" s="87">
        <f t="shared" si="2"/>
        <v>365.625</v>
      </c>
      <c r="D14" s="87">
        <f t="shared" si="2"/>
        <v>487.5</v>
      </c>
      <c r="E14" s="87">
        <f t="shared" si="2"/>
        <v>433.33333333333331</v>
      </c>
      <c r="F14" s="87">
        <f t="shared" si="2"/>
        <v>379.16666666666663</v>
      </c>
      <c r="G14" s="87">
        <f t="shared" si="2"/>
        <v>324.99999999999994</v>
      </c>
      <c r="H14" s="87">
        <f t="shared" si="2"/>
        <v>270.83333333333326</v>
      </c>
      <c r="I14" s="87">
        <f t="shared" si="2"/>
        <v>216.6666666666666</v>
      </c>
      <c r="J14" s="87">
        <f t="shared" si="2"/>
        <v>162.49999999999994</v>
      </c>
      <c r="K14" s="87">
        <f t="shared" si="2"/>
        <v>108.33333333333329</v>
      </c>
      <c r="L14" s="87">
        <f t="shared" si="2"/>
        <v>54.166666666666622</v>
      </c>
      <c r="M14" s="87">
        <f t="shared" si="2"/>
        <v>0</v>
      </c>
      <c r="N14" s="87">
        <f t="shared" si="2"/>
        <v>0</v>
      </c>
      <c r="O14" s="87">
        <f t="shared" si="2"/>
        <v>0</v>
      </c>
      <c r="P14" s="87">
        <f t="shared" si="2"/>
        <v>0</v>
      </c>
      <c r="Q14" s="87">
        <f t="shared" si="2"/>
        <v>0</v>
      </c>
      <c r="R14" s="87">
        <f t="shared" si="2"/>
        <v>0</v>
      </c>
      <c r="S14" s="87">
        <f t="shared" si="2"/>
        <v>0</v>
      </c>
      <c r="T14" s="87">
        <f t="shared" si="2"/>
        <v>0</v>
      </c>
      <c r="U14" s="87">
        <f t="shared" si="2"/>
        <v>0</v>
      </c>
      <c r="V14" s="87">
        <f t="shared" si="2"/>
        <v>0</v>
      </c>
    </row>
    <row r="16" spans="1:22" ht="15" customHeight="1" x14ac:dyDescent="0.2">
      <c r="A16" s="25" t="s">
        <v>703</v>
      </c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</row>
    <row r="17" spans="1:22" ht="15" customHeight="1" x14ac:dyDescent="0.2">
      <c r="A17" s="35" t="s">
        <v>704</v>
      </c>
      <c r="B17" s="86">
        <f>(B11+B14)/2*Assumptions!B85</f>
        <v>5.8500000000000005</v>
      </c>
      <c r="C17" s="86">
        <f>(C11+C14)/2*Assumptions!B85</f>
        <v>20.475000000000001</v>
      </c>
      <c r="D17" s="86">
        <f>(D11+D14)/2*Assumptions!B85</f>
        <v>34.125</v>
      </c>
      <c r="E17" s="86">
        <f>(E11+E14)/2*Assumptions!B85</f>
        <v>36.833333333333329</v>
      </c>
      <c r="F17" s="86">
        <f>(F11+F14)/2*Assumptions!B85</f>
        <v>32.5</v>
      </c>
      <c r="G17" s="86">
        <f>(G11+G14)/2*Assumptions!B85</f>
        <v>28.166666666666661</v>
      </c>
      <c r="H17" s="86">
        <f>(H11+H14)/2*Assumptions!B85</f>
        <v>23.833333333333332</v>
      </c>
      <c r="I17" s="86">
        <f>(I11+I14)/2*Assumptions!B85</f>
        <v>19.499999999999996</v>
      </c>
      <c r="J17" s="86">
        <f>(J11+J14)/2*Assumptions!B85</f>
        <v>15.166666666666661</v>
      </c>
      <c r="K17" s="86">
        <f>(K11+K14)/2*Assumptions!B85</f>
        <v>10.83333333333333</v>
      </c>
      <c r="L17" s="86">
        <f>(L11+L14)/2*Assumptions!B85</f>
        <v>6.4999999999999964</v>
      </c>
      <c r="M17" s="86">
        <f>(M11+M14)/2*Assumptions!B85</f>
        <v>2.1666666666666647</v>
      </c>
      <c r="N17" s="86">
        <f>(N11+N14)/2*Assumptions!B85</f>
        <v>0</v>
      </c>
      <c r="O17" s="86">
        <f>(O11+O14)/2*Assumptions!B85</f>
        <v>0</v>
      </c>
      <c r="P17" s="86">
        <f>(P11+P14)/2*Assumptions!B85</f>
        <v>0</v>
      </c>
      <c r="Q17" s="86">
        <f>(Q11+Q14)/2*Assumptions!B85</f>
        <v>0</v>
      </c>
      <c r="R17" s="86">
        <f>(R11+R14)/2*Assumptions!B85</f>
        <v>0</v>
      </c>
      <c r="S17" s="86">
        <f>(S11+S14)/2*Assumptions!B85</f>
        <v>0</v>
      </c>
      <c r="T17" s="86">
        <f>(T11+T14)/2*Assumptions!B85</f>
        <v>0</v>
      </c>
      <c r="U17" s="86">
        <f>(U11+U14)/2*Assumptions!B85</f>
        <v>0</v>
      </c>
      <c r="V17" s="86">
        <f>(V11+V14)/2*Assumptions!B85</f>
        <v>0</v>
      </c>
    </row>
    <row r="18" spans="1:22" ht="15" customHeight="1" x14ac:dyDescent="0.2">
      <c r="A18" s="5" t="s">
        <v>705</v>
      </c>
      <c r="B18" s="78">
        <f>B17*'Resource Depletion'!B7</f>
        <v>5.8500000000000005</v>
      </c>
      <c r="C18" s="78">
        <f>C17*'Resource Depletion'!C7</f>
        <v>20.475000000000001</v>
      </c>
      <c r="D18" s="78">
        <f>D17*'Resource Depletion'!D7</f>
        <v>34.125</v>
      </c>
      <c r="E18" s="78">
        <f>E17*'Resource Depletion'!E7</f>
        <v>0</v>
      </c>
      <c r="F18" s="78">
        <f>F17*'Resource Depletion'!F7</f>
        <v>0</v>
      </c>
      <c r="G18" s="78">
        <f>G17*'Resource Depletion'!G7</f>
        <v>0</v>
      </c>
      <c r="H18" s="78">
        <f>H17*'Resource Depletion'!H7</f>
        <v>0</v>
      </c>
      <c r="I18" s="78">
        <f>I17*'Resource Depletion'!I7</f>
        <v>0</v>
      </c>
      <c r="J18" s="78">
        <f>J17*'Resource Depletion'!J7</f>
        <v>0</v>
      </c>
      <c r="K18" s="78">
        <f>K17*'Resource Depletion'!K7</f>
        <v>0</v>
      </c>
      <c r="L18" s="78">
        <f>L17*'Resource Depletion'!L7</f>
        <v>0</v>
      </c>
      <c r="M18" s="78">
        <f>M17*'Resource Depletion'!M7</f>
        <v>0</v>
      </c>
      <c r="N18" s="78">
        <f>N17*'Resource Depletion'!N7</f>
        <v>0</v>
      </c>
      <c r="O18" s="78">
        <f>O17*'Resource Depletion'!O7</f>
        <v>0</v>
      </c>
      <c r="P18" s="78">
        <f>P17*'Resource Depletion'!P7</f>
        <v>0</v>
      </c>
      <c r="Q18" s="78">
        <f>Q17*'Resource Depletion'!Q7</f>
        <v>0</v>
      </c>
      <c r="R18" s="78">
        <f>R17*'Resource Depletion'!R7</f>
        <v>0</v>
      </c>
      <c r="S18" s="78">
        <f>S17*'Resource Depletion'!S7</f>
        <v>0</v>
      </c>
      <c r="T18" s="78">
        <f>T17*'Resource Depletion'!T7</f>
        <v>0</v>
      </c>
      <c r="U18" s="78">
        <f>U17*'Resource Depletion'!U7</f>
        <v>0</v>
      </c>
      <c r="V18" s="78">
        <f>V17*'Resource Depletion'!V7</f>
        <v>0</v>
      </c>
    </row>
    <row r="19" spans="1:22" ht="15" customHeight="1" x14ac:dyDescent="0.2">
      <c r="A19" s="5" t="s">
        <v>706</v>
      </c>
      <c r="B19" s="78">
        <f t="shared" ref="B19:V19" si="3">B17-B18</f>
        <v>0</v>
      </c>
      <c r="C19" s="78">
        <f t="shared" si="3"/>
        <v>0</v>
      </c>
      <c r="D19" s="78">
        <f t="shared" si="3"/>
        <v>0</v>
      </c>
      <c r="E19" s="78">
        <f t="shared" si="3"/>
        <v>36.833333333333329</v>
      </c>
      <c r="F19" s="78">
        <f t="shared" si="3"/>
        <v>32.5</v>
      </c>
      <c r="G19" s="78">
        <f t="shared" si="3"/>
        <v>28.166666666666661</v>
      </c>
      <c r="H19" s="78">
        <f t="shared" si="3"/>
        <v>23.833333333333332</v>
      </c>
      <c r="I19" s="78">
        <f t="shared" si="3"/>
        <v>19.499999999999996</v>
      </c>
      <c r="J19" s="78">
        <f t="shared" si="3"/>
        <v>15.166666666666661</v>
      </c>
      <c r="K19" s="78">
        <f t="shared" si="3"/>
        <v>10.83333333333333</v>
      </c>
      <c r="L19" s="78">
        <f t="shared" si="3"/>
        <v>6.4999999999999964</v>
      </c>
      <c r="M19" s="78">
        <f t="shared" si="3"/>
        <v>2.1666666666666647</v>
      </c>
      <c r="N19" s="78">
        <f t="shared" si="3"/>
        <v>0</v>
      </c>
      <c r="O19" s="78">
        <f t="shared" si="3"/>
        <v>0</v>
      </c>
      <c r="P19" s="78">
        <f t="shared" si="3"/>
        <v>0</v>
      </c>
      <c r="Q19" s="78">
        <f t="shared" si="3"/>
        <v>0</v>
      </c>
      <c r="R19" s="78">
        <f t="shared" si="3"/>
        <v>0</v>
      </c>
      <c r="S19" s="78">
        <f t="shared" si="3"/>
        <v>0</v>
      </c>
      <c r="T19" s="78">
        <f t="shared" si="3"/>
        <v>0</v>
      </c>
      <c r="U19" s="78">
        <f t="shared" si="3"/>
        <v>0</v>
      </c>
      <c r="V19" s="78">
        <f t="shared" si="3"/>
        <v>0</v>
      </c>
    </row>
    <row r="21" spans="1:22" ht="15" customHeight="1" x14ac:dyDescent="0.2">
      <c r="A21" s="35" t="s">
        <v>707</v>
      </c>
      <c r="B21" s="87">
        <f t="shared" ref="B21:V21" si="4">-B13+B19</f>
        <v>0</v>
      </c>
      <c r="C21" s="87">
        <f t="shared" si="4"/>
        <v>0</v>
      </c>
      <c r="D21" s="87">
        <f t="shared" si="4"/>
        <v>0</v>
      </c>
      <c r="E21" s="87">
        <f t="shared" si="4"/>
        <v>91</v>
      </c>
      <c r="F21" s="87">
        <f t="shared" si="4"/>
        <v>86.666666666666657</v>
      </c>
      <c r="G21" s="87">
        <f t="shared" si="4"/>
        <v>82.333333333333329</v>
      </c>
      <c r="H21" s="87">
        <f t="shared" si="4"/>
        <v>78</v>
      </c>
      <c r="I21" s="87">
        <f t="shared" si="4"/>
        <v>73.666666666666657</v>
      </c>
      <c r="J21" s="87">
        <f t="shared" si="4"/>
        <v>69.333333333333329</v>
      </c>
      <c r="K21" s="87">
        <f t="shared" si="4"/>
        <v>65</v>
      </c>
      <c r="L21" s="87">
        <f t="shared" si="4"/>
        <v>60.666666666666657</v>
      </c>
      <c r="M21" s="87">
        <f t="shared" si="4"/>
        <v>56.333333333333286</v>
      </c>
      <c r="N21" s="87">
        <f t="shared" si="4"/>
        <v>0</v>
      </c>
      <c r="O21" s="87">
        <f t="shared" si="4"/>
        <v>0</v>
      </c>
      <c r="P21" s="87">
        <f t="shared" si="4"/>
        <v>0</v>
      </c>
      <c r="Q21" s="87">
        <f t="shared" si="4"/>
        <v>0</v>
      </c>
      <c r="R21" s="87">
        <f t="shared" si="4"/>
        <v>0</v>
      </c>
      <c r="S21" s="87">
        <f t="shared" si="4"/>
        <v>0</v>
      </c>
      <c r="T21" s="87">
        <f t="shared" si="4"/>
        <v>0</v>
      </c>
      <c r="U21" s="87">
        <f t="shared" si="4"/>
        <v>0</v>
      </c>
      <c r="V21" s="87">
        <f t="shared" si="4"/>
        <v>0</v>
      </c>
    </row>
    <row r="23" spans="1:22" ht="15" customHeight="1" x14ac:dyDescent="0.2">
      <c r="A23" s="3" t="s">
        <v>708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</row>
    <row r="24" spans="1:22" ht="15" customHeight="1" x14ac:dyDescent="0.2">
      <c r="A24" s="5" t="s">
        <v>709</v>
      </c>
      <c r="B24" s="90">
        <f>'Project Cash Flow'!B23-'Project Cash Flow'!B36-'Project Cash Flow'!B27-'Project Cash Flow'!B40</f>
        <v>0</v>
      </c>
      <c r="C24" s="90">
        <f>'Project Cash Flow'!C23-'Project Cash Flow'!C36-'Project Cash Flow'!C27-'Project Cash Flow'!C40</f>
        <v>0</v>
      </c>
      <c r="D24" s="90">
        <f>'Project Cash Flow'!D23-'Project Cash Flow'!D36-'Project Cash Flow'!D27-'Project Cash Flow'!D40</f>
        <v>0</v>
      </c>
      <c r="E24" s="90">
        <f>'Project Cash Flow'!E23-'Project Cash Flow'!E36-'Project Cash Flow'!E27-'Project Cash Flow'!E40</f>
        <v>41.326374460942858</v>
      </c>
      <c r="F24" s="90">
        <f>'Project Cash Flow'!F23-'Project Cash Flow'!F36-'Project Cash Flow'!F27-'Project Cash Flow'!F40</f>
        <v>129.3299633378785</v>
      </c>
      <c r="G24" s="90">
        <f>'Project Cash Flow'!G23-'Project Cash Flow'!G36-'Project Cash Flow'!G27-'Project Cash Flow'!G40</f>
        <v>197.88343939280784</v>
      </c>
      <c r="H24" s="90">
        <f>'Project Cash Flow'!H23-'Project Cash Flow'!H36-'Project Cash Flow'!H27-'Project Cash Flow'!H40</f>
        <v>204.82710224764051</v>
      </c>
      <c r="I24" s="90">
        <f>'Project Cash Flow'!I23-'Project Cash Flow'!I36-'Project Cash Flow'!I27-'Project Cash Flow'!I40</f>
        <v>217.09640872668558</v>
      </c>
      <c r="J24" s="90">
        <f>'Project Cash Flow'!J23-'Project Cash Flow'!J36-'Project Cash Flow'!J27-'Project Cash Flow'!J40</f>
        <v>247.10811312012657</v>
      </c>
      <c r="K24" s="90">
        <f>'Project Cash Flow'!K23-'Project Cash Flow'!K36-'Project Cash Flow'!K27-'Project Cash Flow'!K40</f>
        <v>258.15918395899405</v>
      </c>
      <c r="L24" s="90">
        <f>'Project Cash Flow'!L23-'Project Cash Flow'!L36-'Project Cash Flow'!L27-'Project Cash Flow'!L40</f>
        <v>261.69535537338618</v>
      </c>
      <c r="M24" s="90">
        <f>'Project Cash Flow'!M23-'Project Cash Flow'!M36-'Project Cash Flow'!M27-'Project Cash Flow'!M40</f>
        <v>265.26775138003467</v>
      </c>
      <c r="N24" s="90">
        <f>'Project Cash Flow'!N23-'Project Cash Flow'!N36-'Project Cash Flow'!N27-'Project Cash Flow'!N40</f>
        <v>268.87623399988388</v>
      </c>
      <c r="O24" s="90">
        <f>'Project Cash Flow'!O23-'Project Cash Flow'!O36-'Project Cash Flow'!O27-'Project Cash Flow'!O40</f>
        <v>272.52064093252454</v>
      </c>
      <c r="P24" s="90">
        <f>'Project Cash Flow'!P23-'Project Cash Flow'!P36-'Project Cash Flow'!P27-'Project Cash Flow'!P40</f>
        <v>276.20078453072244</v>
      </c>
      <c r="Q24" s="90">
        <f>'Project Cash Flow'!Q23-'Project Cash Flow'!Q36-'Project Cash Flow'!Q27-'Project Cash Flow'!Q40</f>
        <v>279.91645074096095</v>
      </c>
      <c r="R24" s="90">
        <f>'Project Cash Flow'!R23-'Project Cash Flow'!R36-'Project Cash Flow'!R27-'Project Cash Flow'!R40</f>
        <v>283.66739800898324</v>
      </c>
      <c r="S24" s="90">
        <f>'Project Cash Flow'!S23-'Project Cash Flow'!S36-'Project Cash Flow'!S27-'Project Cash Flow'!S40</f>
        <v>287.45335614928456</v>
      </c>
      <c r="T24" s="90">
        <f>'Project Cash Flow'!T23-'Project Cash Flow'!T36-'Project Cash Flow'!T27-'Project Cash Flow'!T40</f>
        <v>291.27402517748271</v>
      </c>
      <c r="U24" s="90">
        <f>'Project Cash Flow'!U23-'Project Cash Flow'!U36-'Project Cash Flow'!U27-'Project Cash Flow'!U40</f>
        <v>295.12907410446343</v>
      </c>
      <c r="V24" s="90">
        <f>'Project Cash Flow'!V23-'Project Cash Flow'!V36-'Project Cash Flow'!V27-'Project Cash Flow'!V40</f>
        <v>181.96832067919564</v>
      </c>
    </row>
    <row r="25" spans="1:22" ht="15" customHeight="1" x14ac:dyDescent="0.2">
      <c r="A25" s="5" t="s">
        <v>710</v>
      </c>
      <c r="B25" s="78">
        <f t="shared" ref="B25:V25" si="5">B21</f>
        <v>0</v>
      </c>
      <c r="C25" s="78">
        <f t="shared" si="5"/>
        <v>0</v>
      </c>
      <c r="D25" s="78">
        <f t="shared" si="5"/>
        <v>0</v>
      </c>
      <c r="E25" s="78">
        <f t="shared" si="5"/>
        <v>91</v>
      </c>
      <c r="F25" s="78">
        <f t="shared" si="5"/>
        <v>86.666666666666657</v>
      </c>
      <c r="G25" s="78">
        <f t="shared" si="5"/>
        <v>82.333333333333329</v>
      </c>
      <c r="H25" s="78">
        <f t="shared" si="5"/>
        <v>78</v>
      </c>
      <c r="I25" s="78">
        <f t="shared" si="5"/>
        <v>73.666666666666657</v>
      </c>
      <c r="J25" s="78">
        <f t="shared" si="5"/>
        <v>69.333333333333329</v>
      </c>
      <c r="K25" s="78">
        <f t="shared" si="5"/>
        <v>65</v>
      </c>
      <c r="L25" s="78">
        <f t="shared" si="5"/>
        <v>60.666666666666657</v>
      </c>
      <c r="M25" s="78">
        <f t="shared" si="5"/>
        <v>56.333333333333286</v>
      </c>
      <c r="N25" s="78">
        <f t="shared" si="5"/>
        <v>0</v>
      </c>
      <c r="O25" s="78">
        <f t="shared" si="5"/>
        <v>0</v>
      </c>
      <c r="P25" s="78">
        <f t="shared" si="5"/>
        <v>0</v>
      </c>
      <c r="Q25" s="78">
        <f t="shared" si="5"/>
        <v>0</v>
      </c>
      <c r="R25" s="78">
        <f t="shared" si="5"/>
        <v>0</v>
      </c>
      <c r="S25" s="78">
        <f t="shared" si="5"/>
        <v>0</v>
      </c>
      <c r="T25" s="78">
        <f t="shared" si="5"/>
        <v>0</v>
      </c>
      <c r="U25" s="78">
        <f t="shared" si="5"/>
        <v>0</v>
      </c>
      <c r="V25" s="78">
        <f t="shared" si="5"/>
        <v>0</v>
      </c>
    </row>
    <row r="26" spans="1:22" ht="15" customHeight="1" x14ac:dyDescent="0.2">
      <c r="A26" s="35" t="s">
        <v>708</v>
      </c>
      <c r="B26" s="98">
        <f t="shared" ref="B26:V26" si="6">IF(B25&gt;0,B24/B25,0)</f>
        <v>0</v>
      </c>
      <c r="C26" s="98">
        <f t="shared" si="6"/>
        <v>0</v>
      </c>
      <c r="D26" s="98">
        <f t="shared" si="6"/>
        <v>0</v>
      </c>
      <c r="E26" s="98">
        <f t="shared" si="6"/>
        <v>0.45413598308728415</v>
      </c>
      <c r="F26" s="98">
        <f t="shared" si="6"/>
        <v>1.4922688077447521</v>
      </c>
      <c r="G26" s="98">
        <f t="shared" si="6"/>
        <v>2.4034425837183142</v>
      </c>
      <c r="H26" s="98">
        <f t="shared" si="6"/>
        <v>2.6259884903543655</v>
      </c>
      <c r="I26" s="98">
        <f t="shared" si="6"/>
        <v>2.947010073212927</v>
      </c>
      <c r="J26" s="98">
        <f t="shared" si="6"/>
        <v>3.5640593238479799</v>
      </c>
      <c r="K26" s="98">
        <f t="shared" si="6"/>
        <v>3.9716797532152932</v>
      </c>
      <c r="L26" s="98">
        <f t="shared" si="6"/>
        <v>4.3136597039569153</v>
      </c>
      <c r="M26" s="98">
        <f t="shared" si="6"/>
        <v>4.7088949949118621</v>
      </c>
      <c r="N26" s="98">
        <f t="shared" si="6"/>
        <v>0</v>
      </c>
      <c r="O26" s="98">
        <f t="shared" si="6"/>
        <v>0</v>
      </c>
      <c r="P26" s="98">
        <f t="shared" si="6"/>
        <v>0</v>
      </c>
      <c r="Q26" s="98">
        <f t="shared" si="6"/>
        <v>0</v>
      </c>
      <c r="R26" s="98">
        <f t="shared" si="6"/>
        <v>0</v>
      </c>
      <c r="S26" s="98">
        <f t="shared" si="6"/>
        <v>0</v>
      </c>
      <c r="T26" s="98">
        <f t="shared" si="6"/>
        <v>0</v>
      </c>
      <c r="U26" s="98">
        <f t="shared" si="6"/>
        <v>0</v>
      </c>
      <c r="V26" s="98">
        <f t="shared" si="6"/>
        <v>0</v>
      </c>
    </row>
    <row r="27" spans="1:22" ht="15" customHeight="1" x14ac:dyDescent="0.2">
      <c r="A27" s="79" t="s">
        <v>711</v>
      </c>
      <c r="B27" s="80" t="str">
        <f>IF(AND(B25&gt;0,B26&lt;Assumptions!B88),"BREACH","-")</f>
        <v>-</v>
      </c>
      <c r="C27" s="80" t="str">
        <f>IF(AND(C25&gt;0,C26&lt;Assumptions!B88),"BREACH","-")</f>
        <v>-</v>
      </c>
      <c r="D27" s="80" t="str">
        <f>IF(AND(D25&gt;0,D26&lt;Assumptions!B88),"BREACH","-")</f>
        <v>-</v>
      </c>
      <c r="E27" s="80" t="str">
        <f>IF(AND(E25&gt;0,E26&lt;Assumptions!B88),"BREACH","-")</f>
        <v>BREACH</v>
      </c>
      <c r="F27" s="80" t="str">
        <f>IF(AND(F25&gt;0,F26&lt;Assumptions!B88),"BREACH","-")</f>
        <v>-</v>
      </c>
      <c r="G27" s="80" t="str">
        <f>IF(AND(G25&gt;0,G26&lt;Assumptions!B88),"BREACH","-")</f>
        <v>-</v>
      </c>
      <c r="H27" s="80" t="str">
        <f>IF(AND(H25&gt;0,H26&lt;Assumptions!B88),"BREACH","-")</f>
        <v>-</v>
      </c>
      <c r="I27" s="80" t="str">
        <f>IF(AND(I25&gt;0,I26&lt;Assumptions!B88),"BREACH","-")</f>
        <v>-</v>
      </c>
      <c r="J27" s="80" t="str">
        <f>IF(AND(J25&gt;0,J26&lt;Assumptions!B88),"BREACH","-")</f>
        <v>-</v>
      </c>
      <c r="K27" s="80" t="str">
        <f>IF(AND(K25&gt;0,K26&lt;Assumptions!B88),"BREACH","-")</f>
        <v>-</v>
      </c>
      <c r="L27" s="80" t="str">
        <f>IF(AND(L25&gt;0,L26&lt;Assumptions!B88),"BREACH","-")</f>
        <v>-</v>
      </c>
      <c r="M27" s="80" t="str">
        <f>IF(AND(M25&gt;0,M26&lt;Assumptions!B88),"BREACH","-")</f>
        <v>-</v>
      </c>
      <c r="N27" s="80" t="str">
        <f>IF(AND(N25&gt;0,N26&lt;Assumptions!B88),"BREACH","-")</f>
        <v>-</v>
      </c>
      <c r="O27" s="80" t="str">
        <f>IF(AND(O25&gt;0,O26&lt;Assumptions!B88),"BREACH","-")</f>
        <v>-</v>
      </c>
      <c r="P27" s="80" t="str">
        <f>IF(AND(P25&gt;0,P26&lt;Assumptions!B88),"BREACH","-")</f>
        <v>-</v>
      </c>
      <c r="Q27" s="80" t="str">
        <f>IF(AND(Q25&gt;0,Q26&lt;Assumptions!B88),"BREACH","-")</f>
        <v>-</v>
      </c>
      <c r="R27" s="80" t="str">
        <f>IF(AND(R25&gt;0,R26&lt;Assumptions!B88),"BREACH","-")</f>
        <v>-</v>
      </c>
      <c r="S27" s="80" t="str">
        <f>IF(AND(S25&gt;0,S26&lt;Assumptions!B88),"BREACH","-")</f>
        <v>-</v>
      </c>
      <c r="T27" s="80" t="str">
        <f>IF(AND(T25&gt;0,T26&lt;Assumptions!B88),"BREACH","-")</f>
        <v>-</v>
      </c>
      <c r="U27" s="80" t="str">
        <f>IF(AND(U25&gt;0,U26&lt;Assumptions!B88),"BREACH","-")</f>
        <v>-</v>
      </c>
      <c r="V27" s="80" t="str">
        <f>IF(AND(V25&gt;0,V26&lt;Assumptions!B88),"BREACH","-")</f>
        <v>-</v>
      </c>
    </row>
    <row r="28" spans="1:22" ht="15" customHeight="1" x14ac:dyDescent="0.2">
      <c r="A28" s="79" t="s">
        <v>712</v>
      </c>
      <c r="B28" s="80" t="str">
        <f>IF(AND(B25&gt;0,B26&lt;Assumptions!B89),"DEFAULT","-")</f>
        <v>-</v>
      </c>
      <c r="C28" s="80" t="str">
        <f>IF(AND(C25&gt;0,C26&lt;Assumptions!B89),"DEFAULT","-")</f>
        <v>-</v>
      </c>
      <c r="D28" s="80" t="str">
        <f>IF(AND(D25&gt;0,D26&lt;Assumptions!B89),"DEFAULT","-")</f>
        <v>-</v>
      </c>
      <c r="E28" s="80" t="str">
        <f>IF(AND(E25&gt;0,E26&lt;Assumptions!B89),"DEFAULT","-")</f>
        <v>DEFAULT</v>
      </c>
      <c r="F28" s="80" t="str">
        <f>IF(AND(F25&gt;0,F26&lt;Assumptions!B89),"DEFAULT","-")</f>
        <v>-</v>
      </c>
      <c r="G28" s="80" t="str">
        <f>IF(AND(G25&gt;0,G26&lt;Assumptions!B89),"DEFAULT","-")</f>
        <v>-</v>
      </c>
      <c r="H28" s="80" t="str">
        <f>IF(AND(H25&gt;0,H26&lt;Assumptions!B89),"DEFAULT","-")</f>
        <v>-</v>
      </c>
      <c r="I28" s="80" t="str">
        <f>IF(AND(I25&gt;0,I26&lt;Assumptions!B89),"DEFAULT","-")</f>
        <v>-</v>
      </c>
      <c r="J28" s="80" t="str">
        <f>IF(AND(J25&gt;0,J26&lt;Assumptions!B89),"DEFAULT","-")</f>
        <v>-</v>
      </c>
      <c r="K28" s="80" t="str">
        <f>IF(AND(K25&gt;0,K26&lt;Assumptions!B89),"DEFAULT","-")</f>
        <v>-</v>
      </c>
      <c r="L28" s="80" t="str">
        <f>IF(AND(L25&gt;0,L26&lt;Assumptions!B89),"DEFAULT","-")</f>
        <v>-</v>
      </c>
      <c r="M28" s="80" t="str">
        <f>IF(AND(M25&gt;0,M26&lt;Assumptions!B89),"DEFAULT","-")</f>
        <v>-</v>
      </c>
      <c r="N28" s="80" t="str">
        <f>IF(AND(N25&gt;0,N26&lt;Assumptions!B89),"DEFAULT","-")</f>
        <v>-</v>
      </c>
      <c r="O28" s="80" t="str">
        <f>IF(AND(O25&gt;0,O26&lt;Assumptions!B89),"DEFAULT","-")</f>
        <v>-</v>
      </c>
      <c r="P28" s="80" t="str">
        <f>IF(AND(P25&gt;0,P26&lt;Assumptions!B89),"DEFAULT","-")</f>
        <v>-</v>
      </c>
      <c r="Q28" s="80" t="str">
        <f>IF(AND(Q25&gt;0,Q26&lt;Assumptions!B89),"DEFAULT","-")</f>
        <v>-</v>
      </c>
      <c r="R28" s="80" t="str">
        <f>IF(AND(R25&gt;0,R26&lt;Assumptions!B89),"DEFAULT","-")</f>
        <v>-</v>
      </c>
      <c r="S28" s="80" t="str">
        <f>IF(AND(S25&gt;0,S26&lt;Assumptions!B89),"DEFAULT","-")</f>
        <v>-</v>
      </c>
      <c r="T28" s="80" t="str">
        <f>IF(AND(T25&gt;0,T26&lt;Assumptions!B89),"DEFAULT","-")</f>
        <v>-</v>
      </c>
      <c r="U28" s="80" t="str">
        <f>IF(AND(U25&gt;0,U26&lt;Assumptions!B89),"DEFAULT","-")</f>
        <v>-</v>
      </c>
      <c r="V28" s="80" t="str">
        <f>IF(AND(V25&gt;0,V26&lt;Assumptions!B89),"DEFAULT","-")</f>
        <v>-</v>
      </c>
    </row>
    <row r="30" spans="1:22" ht="15" customHeight="1" x14ac:dyDescent="0.2">
      <c r="A30" s="3" t="s">
        <v>713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</row>
    <row r="31" spans="1:22" ht="15" customHeight="1" x14ac:dyDescent="0.2">
      <c r="A31" s="5" t="s">
        <v>714</v>
      </c>
      <c r="B31" s="78">
        <f>IF(B14&gt;0,NPV(Assumptions!B85,C24:M24)+B24,0)</f>
        <v>1015.9262900555284</v>
      </c>
      <c r="C31" s="78">
        <f>IF(C14&gt;0,NPV(Assumptions!B85,D24:M24)+C24,0)</f>
        <v>1097.200393259971</v>
      </c>
      <c r="D31" s="78">
        <f>IF(D14&gt;0,NPV(Assumptions!B85,E24:M24)+D24,0)</f>
        <v>1184.9764247207686</v>
      </c>
      <c r="E31" s="78">
        <f>IF(E14&gt;0,NPV(Assumptions!B85,F24:M24)+E24,0)</f>
        <v>1279.7745386984298</v>
      </c>
      <c r="F31" s="78">
        <f>IF(F14&gt;0,NPV(Assumptions!B85,G24:M24)+F24,0)</f>
        <v>1337.5240173764864</v>
      </c>
      <c r="G31" s="78">
        <f>IF(G14&gt;0,NPV(Assumptions!B85,H24:M24)+G24,0)</f>
        <v>1304.8495783616966</v>
      </c>
      <c r="H31" s="78">
        <f>IF(H14&gt;0,NPV(Assumptions!B85,I24:M24)+H24,0)</f>
        <v>1195.5234300863997</v>
      </c>
      <c r="I31" s="78">
        <f>IF(I14&gt;0,NPV(Assumptions!B85,J24:M24)+I24,0)</f>
        <v>1069.9520340658601</v>
      </c>
      <c r="J31" s="78">
        <f>IF(J14&gt;0,NPV(Assumptions!B85,K24:M24)+J24,0)</f>
        <v>921.08407536630853</v>
      </c>
      <c r="K31" s="78">
        <f>IF(K14&gt;0,NPV(Assumptions!B85,L24:M24)+K24,0)</f>
        <v>727.89403922587644</v>
      </c>
      <c r="L31" s="78">
        <f>IF(L14&gt;0,NPV(Assumptions!B85,M24:M24)+L24,0)</f>
        <v>507.31364368823307</v>
      </c>
      <c r="M31" s="78">
        <f>IF(M14&gt;0,NPV(Assumptions!B85,M24:N24)+M24,0)</f>
        <v>0</v>
      </c>
      <c r="N31" s="78">
        <v>0</v>
      </c>
      <c r="O31" s="78">
        <v>0</v>
      </c>
      <c r="P31" s="78">
        <v>0</v>
      </c>
      <c r="Q31" s="78">
        <v>0</v>
      </c>
      <c r="R31" s="78">
        <v>0</v>
      </c>
      <c r="S31" s="78">
        <v>0</v>
      </c>
      <c r="T31" s="78">
        <v>0</v>
      </c>
      <c r="U31" s="78">
        <v>0</v>
      </c>
      <c r="V31" s="78">
        <v>0</v>
      </c>
    </row>
    <row r="32" spans="1:22" ht="15" customHeight="1" x14ac:dyDescent="0.2">
      <c r="A32" s="5" t="s">
        <v>715</v>
      </c>
      <c r="B32" s="78">
        <f t="shared" ref="B32:V32" si="7">B14</f>
        <v>146.25</v>
      </c>
      <c r="C32" s="78">
        <f t="shared" si="7"/>
        <v>365.625</v>
      </c>
      <c r="D32" s="78">
        <f t="shared" si="7"/>
        <v>487.5</v>
      </c>
      <c r="E32" s="78">
        <f t="shared" si="7"/>
        <v>433.33333333333331</v>
      </c>
      <c r="F32" s="78">
        <f t="shared" si="7"/>
        <v>379.16666666666663</v>
      </c>
      <c r="G32" s="78">
        <f t="shared" si="7"/>
        <v>324.99999999999994</v>
      </c>
      <c r="H32" s="78">
        <f t="shared" si="7"/>
        <v>270.83333333333326</v>
      </c>
      <c r="I32" s="78">
        <f t="shared" si="7"/>
        <v>216.6666666666666</v>
      </c>
      <c r="J32" s="78">
        <f t="shared" si="7"/>
        <v>162.49999999999994</v>
      </c>
      <c r="K32" s="78">
        <f t="shared" si="7"/>
        <v>108.33333333333329</v>
      </c>
      <c r="L32" s="78">
        <f t="shared" si="7"/>
        <v>54.166666666666622</v>
      </c>
      <c r="M32" s="78">
        <f t="shared" si="7"/>
        <v>0</v>
      </c>
      <c r="N32" s="78">
        <f t="shared" si="7"/>
        <v>0</v>
      </c>
      <c r="O32" s="78">
        <f t="shared" si="7"/>
        <v>0</v>
      </c>
      <c r="P32" s="78">
        <f t="shared" si="7"/>
        <v>0</v>
      </c>
      <c r="Q32" s="78">
        <f t="shared" si="7"/>
        <v>0</v>
      </c>
      <c r="R32" s="78">
        <f t="shared" si="7"/>
        <v>0</v>
      </c>
      <c r="S32" s="78">
        <f t="shared" si="7"/>
        <v>0</v>
      </c>
      <c r="T32" s="78">
        <f t="shared" si="7"/>
        <v>0</v>
      </c>
      <c r="U32" s="78">
        <f t="shared" si="7"/>
        <v>0</v>
      </c>
      <c r="V32" s="78">
        <f t="shared" si="7"/>
        <v>0</v>
      </c>
    </row>
    <row r="33" spans="1:22" ht="15" customHeight="1" x14ac:dyDescent="0.2">
      <c r="A33" s="35" t="s">
        <v>713</v>
      </c>
      <c r="B33" s="98">
        <f t="shared" ref="B33:V33" si="8">IF(B32&gt;0,B31/B32,0)</f>
        <v>6.9465045473882281</v>
      </c>
      <c r="C33" s="98">
        <f t="shared" si="8"/>
        <v>3.0008899644717153</v>
      </c>
      <c r="D33" s="98">
        <f t="shared" si="8"/>
        <v>2.4307208712220896</v>
      </c>
      <c r="E33" s="98">
        <f t="shared" si="8"/>
        <v>2.9533258585348379</v>
      </c>
      <c r="F33" s="98">
        <f t="shared" si="8"/>
        <v>3.5275358700039208</v>
      </c>
      <c r="G33" s="98">
        <f t="shared" si="8"/>
        <v>4.0149217795744514</v>
      </c>
      <c r="H33" s="98">
        <f t="shared" si="8"/>
        <v>4.4142403572420923</v>
      </c>
      <c r="I33" s="98">
        <f t="shared" si="8"/>
        <v>4.9382401572270478</v>
      </c>
      <c r="J33" s="98">
        <f t="shared" si="8"/>
        <v>5.6682096945619005</v>
      </c>
      <c r="K33" s="98">
        <f t="shared" si="8"/>
        <v>6.7190219005465543</v>
      </c>
      <c r="L33" s="98">
        <f t="shared" si="8"/>
        <v>9.3657903450135418</v>
      </c>
      <c r="M33" s="98">
        <f t="shared" si="8"/>
        <v>0</v>
      </c>
      <c r="N33" s="98">
        <f t="shared" si="8"/>
        <v>0</v>
      </c>
      <c r="O33" s="98">
        <f t="shared" si="8"/>
        <v>0</v>
      </c>
      <c r="P33" s="98">
        <f t="shared" si="8"/>
        <v>0</v>
      </c>
      <c r="Q33" s="98">
        <f t="shared" si="8"/>
        <v>0</v>
      </c>
      <c r="R33" s="98">
        <f t="shared" si="8"/>
        <v>0</v>
      </c>
      <c r="S33" s="98">
        <f t="shared" si="8"/>
        <v>0</v>
      </c>
      <c r="T33" s="98">
        <f t="shared" si="8"/>
        <v>0</v>
      </c>
      <c r="U33" s="98">
        <f t="shared" si="8"/>
        <v>0</v>
      </c>
      <c r="V33" s="98">
        <f t="shared" si="8"/>
        <v>0</v>
      </c>
    </row>
    <row r="35" spans="1:22" ht="15" customHeight="1" x14ac:dyDescent="0.2">
      <c r="A35" s="3" t="s">
        <v>716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</row>
    <row r="36" spans="1:22" ht="15" customHeight="1" x14ac:dyDescent="0.2">
      <c r="A36" s="35" t="s">
        <v>717</v>
      </c>
      <c r="B36" s="99">
        <f>MIN(E26:M26)</f>
        <v>0.45413598308728415</v>
      </c>
    </row>
    <row r="37" spans="1:22" ht="15" customHeight="1" x14ac:dyDescent="0.2">
      <c r="A37" s="35" t="s">
        <v>718</v>
      </c>
      <c r="B37" s="99">
        <f>AVERAGEIF(E26:M26,"&gt;0")</f>
        <v>2.9423488571166327</v>
      </c>
    </row>
    <row r="38" spans="1:22" ht="15" customHeight="1" x14ac:dyDescent="0.2">
      <c r="A38" s="35" t="s">
        <v>719</v>
      </c>
      <c r="B38" s="99">
        <f>MIN(E33:L33)</f>
        <v>2.9533258585348379</v>
      </c>
    </row>
    <row r="39" spans="1:22" ht="15" customHeight="1" x14ac:dyDescent="0.2">
      <c r="A39" s="35" t="s">
        <v>720</v>
      </c>
      <c r="B39" s="99">
        <f>AVERAGEIF(E33:M33,"&gt;0")</f>
        <v>5.2001607453380432</v>
      </c>
    </row>
  </sheetData>
  <pageMargins left="0.75" right="0.75" top="1" bottom="1" header="0.511811023622047" footer="0.511811023622047"/>
  <pageSetup paperSize="9"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7030A0"/>
  </sheetPr>
  <dimension ref="A1:V23"/>
  <sheetViews>
    <sheetView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baseColWidth="10" defaultColWidth="8.6640625" defaultRowHeight="15" x14ac:dyDescent="0.2"/>
  <cols>
    <col min="1" max="1" width="44" customWidth="1"/>
    <col min="2" max="22" width="14" customWidth="1"/>
  </cols>
  <sheetData>
    <row r="1" spans="1:22" ht="17.25" customHeight="1" x14ac:dyDescent="0.2">
      <c r="A1" s="2" t="s">
        <v>721</v>
      </c>
    </row>
    <row r="3" spans="1:22" ht="15" customHeight="1" x14ac:dyDescent="0.2">
      <c r="A3" s="39" t="s">
        <v>535</v>
      </c>
      <c r="B3" s="69">
        <f>Assumptions!B4+0</f>
        <v>2025</v>
      </c>
      <c r="C3" s="69">
        <f>Assumptions!B4+1</f>
        <v>2026</v>
      </c>
      <c r="D3" s="69">
        <f>Assumptions!B4+2</f>
        <v>2027</v>
      </c>
      <c r="E3" s="69">
        <f>Assumptions!B4+3</f>
        <v>2028</v>
      </c>
      <c r="F3" s="69">
        <f>Assumptions!B4+4</f>
        <v>2029</v>
      </c>
      <c r="G3" s="69">
        <f>Assumptions!B4+5</f>
        <v>2030</v>
      </c>
      <c r="H3" s="69">
        <f>Assumptions!B4+6</f>
        <v>2031</v>
      </c>
      <c r="I3" s="69">
        <f>Assumptions!B4+7</f>
        <v>2032</v>
      </c>
      <c r="J3" s="69">
        <f>Assumptions!B4+8</f>
        <v>2033</v>
      </c>
      <c r="K3" s="69">
        <f>Assumptions!B4+9</f>
        <v>2034</v>
      </c>
      <c r="L3" s="69">
        <f>Assumptions!B4+10</f>
        <v>2035</v>
      </c>
      <c r="M3" s="69">
        <f>Assumptions!B4+11</f>
        <v>2036</v>
      </c>
      <c r="N3" s="69">
        <f>Assumptions!B4+12</f>
        <v>2037</v>
      </c>
      <c r="O3" s="69">
        <f>Assumptions!B4+13</f>
        <v>2038</v>
      </c>
      <c r="P3" s="69">
        <f>Assumptions!B4+14</f>
        <v>2039</v>
      </c>
      <c r="Q3" s="69">
        <f>Assumptions!B4+15</f>
        <v>2040</v>
      </c>
      <c r="R3" s="69">
        <f>Assumptions!B4+16</f>
        <v>2041</v>
      </c>
      <c r="S3" s="69">
        <f>Assumptions!B4+17</f>
        <v>2042</v>
      </c>
      <c r="T3" s="69">
        <f>Assumptions!B4+18</f>
        <v>2043</v>
      </c>
      <c r="U3" s="69">
        <f>Assumptions!B4+19</f>
        <v>2044</v>
      </c>
      <c r="V3" s="69">
        <f>Assumptions!B4+20</f>
        <v>2045</v>
      </c>
    </row>
    <row r="4" spans="1:22" ht="15" customHeight="1" x14ac:dyDescent="0.2">
      <c r="A4" s="7" t="s">
        <v>536</v>
      </c>
      <c r="B4" s="70">
        <v>0</v>
      </c>
      <c r="C4" s="70">
        <v>1</v>
      </c>
      <c r="D4" s="70">
        <v>2</v>
      </c>
      <c r="E4" s="70">
        <v>3</v>
      </c>
      <c r="F4" s="70">
        <v>4</v>
      </c>
      <c r="G4" s="70">
        <v>5</v>
      </c>
      <c r="H4" s="70">
        <v>6</v>
      </c>
      <c r="I4" s="70">
        <v>7</v>
      </c>
      <c r="J4" s="70">
        <v>8</v>
      </c>
      <c r="K4" s="70">
        <v>9</v>
      </c>
      <c r="L4" s="70">
        <v>10</v>
      </c>
      <c r="M4" s="70">
        <v>11</v>
      </c>
      <c r="N4" s="70">
        <v>12</v>
      </c>
      <c r="O4" s="70">
        <v>13</v>
      </c>
      <c r="P4" s="70">
        <v>14</v>
      </c>
      <c r="Q4" s="70">
        <v>15</v>
      </c>
      <c r="R4" s="70">
        <v>16</v>
      </c>
      <c r="S4" s="70">
        <v>17</v>
      </c>
      <c r="T4" s="70">
        <v>18</v>
      </c>
      <c r="U4" s="70">
        <v>19</v>
      </c>
      <c r="V4" s="70">
        <v>20</v>
      </c>
    </row>
    <row r="6" spans="1:22" ht="15" customHeight="1" x14ac:dyDescent="0.2">
      <c r="A6" s="25" t="s">
        <v>722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</row>
    <row r="7" spans="1:22" ht="15" customHeight="1" x14ac:dyDescent="0.2">
      <c r="A7" s="5" t="s">
        <v>637</v>
      </c>
      <c r="B7" s="90">
        <f>'Project Cash Flow'!B26</f>
        <v>225</v>
      </c>
      <c r="C7" s="90">
        <f>'Project Cash Flow'!C26</f>
        <v>337.5</v>
      </c>
      <c r="D7" s="90">
        <f>'Project Cash Flow'!D26</f>
        <v>187.5</v>
      </c>
      <c r="E7" s="90">
        <f>'Project Cash Flow'!E26</f>
        <v>0</v>
      </c>
      <c r="F7" s="90">
        <f>'Project Cash Flow'!F26</f>
        <v>0</v>
      </c>
      <c r="G7" s="90">
        <f>'Project Cash Flow'!G26</f>
        <v>0</v>
      </c>
      <c r="H7" s="90">
        <f>'Project Cash Flow'!H26</f>
        <v>0</v>
      </c>
      <c r="I7" s="90">
        <f>'Project Cash Flow'!I26</f>
        <v>0</v>
      </c>
      <c r="J7" s="90">
        <f>'Project Cash Flow'!J26</f>
        <v>0</v>
      </c>
      <c r="K7" s="90">
        <f>'Project Cash Flow'!K26</f>
        <v>0</v>
      </c>
      <c r="L7" s="90">
        <f>'Project Cash Flow'!L26</f>
        <v>0</v>
      </c>
      <c r="M7" s="90">
        <f>'Project Cash Flow'!M26</f>
        <v>0</v>
      </c>
      <c r="N7" s="90">
        <f>'Project Cash Flow'!N26</f>
        <v>0</v>
      </c>
      <c r="O7" s="90">
        <f>'Project Cash Flow'!O26</f>
        <v>0</v>
      </c>
      <c r="P7" s="90">
        <f>'Project Cash Flow'!P26</f>
        <v>0</v>
      </c>
      <c r="Q7" s="90">
        <f>'Project Cash Flow'!Q26</f>
        <v>0</v>
      </c>
      <c r="R7" s="90">
        <f>'Project Cash Flow'!R26</f>
        <v>0</v>
      </c>
      <c r="S7" s="90">
        <f>'Project Cash Flow'!S26</f>
        <v>0</v>
      </c>
      <c r="T7" s="90">
        <f>'Project Cash Flow'!T26</f>
        <v>0</v>
      </c>
      <c r="U7" s="90">
        <f>'Project Cash Flow'!U26</f>
        <v>0</v>
      </c>
      <c r="V7" s="90">
        <f>'Project Cash Flow'!V26</f>
        <v>0</v>
      </c>
    </row>
    <row r="8" spans="1:22" ht="15" customHeight="1" x14ac:dyDescent="0.2">
      <c r="A8" s="5" t="s">
        <v>723</v>
      </c>
      <c r="B8" s="90">
        <f>-'Debt Schedule'!B8</f>
        <v>-146.25</v>
      </c>
      <c r="C8" s="90">
        <f>-'Debt Schedule'!C8</f>
        <v>-219.375</v>
      </c>
      <c r="D8" s="90">
        <f>-'Debt Schedule'!D8</f>
        <v>-121.875</v>
      </c>
      <c r="E8" s="90">
        <f>-'Debt Schedule'!E8</f>
        <v>0</v>
      </c>
      <c r="F8" s="90">
        <f>-'Debt Schedule'!F8</f>
        <v>0</v>
      </c>
      <c r="G8" s="90">
        <f>-'Debt Schedule'!G8</f>
        <v>0</v>
      </c>
      <c r="H8" s="90">
        <f>-'Debt Schedule'!H8</f>
        <v>0</v>
      </c>
      <c r="I8" s="90">
        <f>-'Debt Schedule'!I8</f>
        <v>0</v>
      </c>
      <c r="J8" s="90">
        <f>-'Debt Schedule'!J8</f>
        <v>0</v>
      </c>
      <c r="K8" s="90">
        <f>-'Debt Schedule'!K8</f>
        <v>0</v>
      </c>
      <c r="L8" s="90">
        <f>-'Debt Schedule'!L8</f>
        <v>0</v>
      </c>
      <c r="M8" s="90">
        <f>-'Debt Schedule'!M8</f>
        <v>0</v>
      </c>
      <c r="N8" s="90">
        <f>-'Debt Schedule'!N8</f>
        <v>0</v>
      </c>
      <c r="O8" s="90">
        <f>-'Debt Schedule'!O8</f>
        <v>0</v>
      </c>
      <c r="P8" s="90">
        <f>-'Debt Schedule'!P8</f>
        <v>0</v>
      </c>
      <c r="Q8" s="90">
        <f>-'Debt Schedule'!Q8</f>
        <v>0</v>
      </c>
      <c r="R8" s="90">
        <f>-'Debt Schedule'!R8</f>
        <v>0</v>
      </c>
      <c r="S8" s="90">
        <f>-'Debt Schedule'!S8</f>
        <v>0</v>
      </c>
      <c r="T8" s="90">
        <f>-'Debt Schedule'!T8</f>
        <v>0</v>
      </c>
      <c r="U8" s="90">
        <f>-'Debt Schedule'!U8</f>
        <v>0</v>
      </c>
      <c r="V8" s="90">
        <f>-'Debt Schedule'!V8</f>
        <v>0</v>
      </c>
    </row>
    <row r="9" spans="1:22" ht="15" customHeight="1" x14ac:dyDescent="0.2">
      <c r="A9" s="35" t="s">
        <v>724</v>
      </c>
      <c r="B9" s="84">
        <f t="shared" ref="B9:V9" si="0">B7+B8</f>
        <v>78.75</v>
      </c>
      <c r="C9" s="84">
        <f t="shared" si="0"/>
        <v>118.125</v>
      </c>
      <c r="D9" s="84">
        <f t="shared" si="0"/>
        <v>65.625</v>
      </c>
      <c r="E9" s="84">
        <f t="shared" si="0"/>
        <v>0</v>
      </c>
      <c r="F9" s="84">
        <f t="shared" si="0"/>
        <v>0</v>
      </c>
      <c r="G9" s="84">
        <f t="shared" si="0"/>
        <v>0</v>
      </c>
      <c r="H9" s="84">
        <f t="shared" si="0"/>
        <v>0</v>
      </c>
      <c r="I9" s="84">
        <f t="shared" si="0"/>
        <v>0</v>
      </c>
      <c r="J9" s="84">
        <f t="shared" si="0"/>
        <v>0</v>
      </c>
      <c r="K9" s="84">
        <f t="shared" si="0"/>
        <v>0</v>
      </c>
      <c r="L9" s="84">
        <f t="shared" si="0"/>
        <v>0</v>
      </c>
      <c r="M9" s="84">
        <f t="shared" si="0"/>
        <v>0</v>
      </c>
      <c r="N9" s="84">
        <f t="shared" si="0"/>
        <v>0</v>
      </c>
      <c r="O9" s="84">
        <f t="shared" si="0"/>
        <v>0</v>
      </c>
      <c r="P9" s="84">
        <f t="shared" si="0"/>
        <v>0</v>
      </c>
      <c r="Q9" s="84">
        <f t="shared" si="0"/>
        <v>0</v>
      </c>
      <c r="R9" s="84">
        <f t="shared" si="0"/>
        <v>0</v>
      </c>
      <c r="S9" s="84">
        <f t="shared" si="0"/>
        <v>0</v>
      </c>
      <c r="T9" s="84">
        <f t="shared" si="0"/>
        <v>0</v>
      </c>
      <c r="U9" s="84">
        <f t="shared" si="0"/>
        <v>0</v>
      </c>
      <c r="V9" s="84">
        <f t="shared" si="0"/>
        <v>0</v>
      </c>
    </row>
    <row r="11" spans="1:22" ht="15" customHeight="1" x14ac:dyDescent="0.2">
      <c r="A11" s="3" t="s">
        <v>725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</row>
    <row r="12" spans="1:22" ht="15" customHeight="1" x14ac:dyDescent="0.2">
      <c r="A12" s="5" t="s">
        <v>726</v>
      </c>
      <c r="B12" s="90">
        <f>'Project Cash Flow'!B48</f>
        <v>-225</v>
      </c>
      <c r="C12" s="90">
        <f>'Project Cash Flow'!C48</f>
        <v>-337.5</v>
      </c>
      <c r="D12" s="90">
        <f>'Project Cash Flow'!D48</f>
        <v>-187.5</v>
      </c>
      <c r="E12" s="90">
        <f>'Project Cash Flow'!E48</f>
        <v>41.326374460942858</v>
      </c>
      <c r="F12" s="90">
        <f>'Project Cash Flow'!F48</f>
        <v>129.3299633378785</v>
      </c>
      <c r="G12" s="90">
        <f>'Project Cash Flow'!G48</f>
        <v>197.88343939280784</v>
      </c>
      <c r="H12" s="90">
        <f>'Project Cash Flow'!H48</f>
        <v>204.82710224764051</v>
      </c>
      <c r="I12" s="90">
        <f>'Project Cash Flow'!I48</f>
        <v>217.09640872668558</v>
      </c>
      <c r="J12" s="90">
        <f>'Project Cash Flow'!J48</f>
        <v>247.10811312012657</v>
      </c>
      <c r="K12" s="90">
        <f>'Project Cash Flow'!K48</f>
        <v>258.15918395899405</v>
      </c>
      <c r="L12" s="90">
        <f>'Project Cash Flow'!L48</f>
        <v>261.69535537338618</v>
      </c>
      <c r="M12" s="90">
        <f>'Project Cash Flow'!M48</f>
        <v>265.26775138003467</v>
      </c>
      <c r="N12" s="90">
        <f>'Project Cash Flow'!N48</f>
        <v>268.87623399988388</v>
      </c>
      <c r="O12" s="90">
        <f>'Project Cash Flow'!O48</f>
        <v>272.52064093252454</v>
      </c>
      <c r="P12" s="90">
        <f>'Project Cash Flow'!P48</f>
        <v>276.20078453072244</v>
      </c>
      <c r="Q12" s="90">
        <f>'Project Cash Flow'!Q48</f>
        <v>279.91645074096095</v>
      </c>
      <c r="R12" s="90">
        <f>'Project Cash Flow'!R48</f>
        <v>283.66739800898324</v>
      </c>
      <c r="S12" s="90">
        <f>'Project Cash Flow'!S48</f>
        <v>287.45335614928456</v>
      </c>
      <c r="T12" s="90">
        <f>'Project Cash Flow'!T48</f>
        <v>291.27402517748271</v>
      </c>
      <c r="U12" s="90">
        <f>'Project Cash Flow'!U48</f>
        <v>255.12907410446343</v>
      </c>
      <c r="V12" s="90">
        <f>'Project Cash Flow'!V48</f>
        <v>181.96832067919564</v>
      </c>
    </row>
    <row r="13" spans="1:22" ht="15" customHeight="1" x14ac:dyDescent="0.2">
      <c r="A13" s="5" t="s">
        <v>727</v>
      </c>
      <c r="B13" s="90">
        <f>'Debt Schedule'!B8</f>
        <v>146.25</v>
      </c>
      <c r="C13" s="90">
        <f>'Debt Schedule'!C8</f>
        <v>219.375</v>
      </c>
      <c r="D13" s="90">
        <f>'Debt Schedule'!D8</f>
        <v>121.875</v>
      </c>
      <c r="E13" s="90">
        <f>'Debt Schedule'!E8</f>
        <v>0</v>
      </c>
      <c r="F13" s="90">
        <f>'Debt Schedule'!F8</f>
        <v>0</v>
      </c>
      <c r="G13" s="90">
        <f>'Debt Schedule'!G8</f>
        <v>0</v>
      </c>
      <c r="H13" s="90">
        <f>'Debt Schedule'!H8</f>
        <v>0</v>
      </c>
      <c r="I13" s="90">
        <f>'Debt Schedule'!I8</f>
        <v>0</v>
      </c>
      <c r="J13" s="90">
        <f>'Debt Schedule'!J8</f>
        <v>0</v>
      </c>
      <c r="K13" s="90">
        <f>'Debt Schedule'!K8</f>
        <v>0</v>
      </c>
      <c r="L13" s="90">
        <f>'Debt Schedule'!L8</f>
        <v>0</v>
      </c>
      <c r="M13" s="90">
        <f>'Debt Schedule'!M8</f>
        <v>0</v>
      </c>
      <c r="N13" s="90">
        <f>'Debt Schedule'!N8</f>
        <v>0</v>
      </c>
      <c r="O13" s="90">
        <f>'Debt Schedule'!O8</f>
        <v>0</v>
      </c>
      <c r="P13" s="90">
        <f>'Debt Schedule'!P8</f>
        <v>0</v>
      </c>
      <c r="Q13" s="90">
        <f>'Debt Schedule'!Q8</f>
        <v>0</v>
      </c>
      <c r="R13" s="90">
        <f>'Debt Schedule'!R8</f>
        <v>0</v>
      </c>
      <c r="S13" s="90">
        <f>'Debt Schedule'!S8</f>
        <v>0</v>
      </c>
      <c r="T13" s="90">
        <f>'Debt Schedule'!T8</f>
        <v>0</v>
      </c>
      <c r="U13" s="90">
        <f>'Debt Schedule'!U8</f>
        <v>0</v>
      </c>
      <c r="V13" s="90">
        <f>'Debt Schedule'!V8</f>
        <v>0</v>
      </c>
    </row>
    <row r="14" spans="1:22" ht="15" customHeight="1" x14ac:dyDescent="0.2">
      <c r="A14" s="5" t="s">
        <v>728</v>
      </c>
      <c r="B14" s="90">
        <f>'Debt Schedule'!B13</f>
        <v>0</v>
      </c>
      <c r="C14" s="90">
        <f>'Debt Schedule'!C13</f>
        <v>0</v>
      </c>
      <c r="D14" s="90">
        <f>'Debt Schedule'!D13</f>
        <v>0</v>
      </c>
      <c r="E14" s="90">
        <f>'Debt Schedule'!E13</f>
        <v>-54.166666666666664</v>
      </c>
      <c r="F14" s="90">
        <f>'Debt Schedule'!F13</f>
        <v>-54.166666666666664</v>
      </c>
      <c r="G14" s="90">
        <f>'Debt Schedule'!G13</f>
        <v>-54.166666666666664</v>
      </c>
      <c r="H14" s="90">
        <f>'Debt Schedule'!H13</f>
        <v>-54.166666666666664</v>
      </c>
      <c r="I14" s="90">
        <f>'Debt Schedule'!I13</f>
        <v>-54.166666666666664</v>
      </c>
      <c r="J14" s="90">
        <f>'Debt Schedule'!J13</f>
        <v>-54.166666666666664</v>
      </c>
      <c r="K14" s="90">
        <f>'Debt Schedule'!K13</f>
        <v>-54.166666666666664</v>
      </c>
      <c r="L14" s="90">
        <f>'Debt Schedule'!L13</f>
        <v>-54.166666666666664</v>
      </c>
      <c r="M14" s="90">
        <f>'Debt Schedule'!M13</f>
        <v>-54.166666666666622</v>
      </c>
      <c r="N14" s="90">
        <f>'Debt Schedule'!N13</f>
        <v>0</v>
      </c>
      <c r="O14" s="90">
        <f>'Debt Schedule'!O13</f>
        <v>0</v>
      </c>
      <c r="P14" s="90">
        <f>'Debt Schedule'!P13</f>
        <v>0</v>
      </c>
      <c r="Q14" s="90">
        <f>'Debt Schedule'!Q13</f>
        <v>0</v>
      </c>
      <c r="R14" s="90">
        <f>'Debt Schedule'!R13</f>
        <v>0</v>
      </c>
      <c r="S14" s="90">
        <f>'Debt Schedule'!S13</f>
        <v>0</v>
      </c>
      <c r="T14" s="90">
        <f>'Debt Schedule'!T13</f>
        <v>0</v>
      </c>
      <c r="U14" s="90">
        <f>'Debt Schedule'!U13</f>
        <v>0</v>
      </c>
      <c r="V14" s="90">
        <f>'Debt Schedule'!V13</f>
        <v>0</v>
      </c>
    </row>
    <row r="15" spans="1:22" ht="15" customHeight="1" x14ac:dyDescent="0.2">
      <c r="A15" s="5" t="s">
        <v>729</v>
      </c>
      <c r="B15" s="90">
        <f>-'Debt Schedule'!B19</f>
        <v>0</v>
      </c>
      <c r="C15" s="90">
        <f>-'Debt Schedule'!C19</f>
        <v>0</v>
      </c>
      <c r="D15" s="90">
        <f>-'Debt Schedule'!D19</f>
        <v>0</v>
      </c>
      <c r="E15" s="90">
        <f>-'Debt Schedule'!E19</f>
        <v>-36.833333333333329</v>
      </c>
      <c r="F15" s="90">
        <f>-'Debt Schedule'!F19</f>
        <v>-32.5</v>
      </c>
      <c r="G15" s="90">
        <f>-'Debt Schedule'!G19</f>
        <v>-28.166666666666661</v>
      </c>
      <c r="H15" s="90">
        <f>-'Debt Schedule'!H19</f>
        <v>-23.833333333333332</v>
      </c>
      <c r="I15" s="90">
        <f>-'Debt Schedule'!I19</f>
        <v>-19.499999999999996</v>
      </c>
      <c r="J15" s="90">
        <f>-'Debt Schedule'!J19</f>
        <v>-15.166666666666661</v>
      </c>
      <c r="K15" s="90">
        <f>-'Debt Schedule'!K19</f>
        <v>-10.83333333333333</v>
      </c>
      <c r="L15" s="90">
        <f>-'Debt Schedule'!L19</f>
        <v>-6.4999999999999964</v>
      </c>
      <c r="M15" s="90">
        <f>-'Debt Schedule'!M19</f>
        <v>-2.1666666666666647</v>
      </c>
      <c r="N15" s="90">
        <f>-'Debt Schedule'!N19</f>
        <v>0</v>
      </c>
      <c r="O15" s="90">
        <f>-'Debt Schedule'!O19</f>
        <v>0</v>
      </c>
      <c r="P15" s="90">
        <f>-'Debt Schedule'!P19</f>
        <v>0</v>
      </c>
      <c r="Q15" s="90">
        <f>-'Debt Schedule'!Q19</f>
        <v>0</v>
      </c>
      <c r="R15" s="90">
        <f>-'Debt Schedule'!R19</f>
        <v>0</v>
      </c>
      <c r="S15" s="90">
        <f>-'Debt Schedule'!S19</f>
        <v>0</v>
      </c>
      <c r="T15" s="90">
        <f>-'Debt Schedule'!T19</f>
        <v>0</v>
      </c>
      <c r="U15" s="90">
        <f>-'Debt Schedule'!U19</f>
        <v>0</v>
      </c>
      <c r="V15" s="90">
        <f>-'Debt Schedule'!V19</f>
        <v>0</v>
      </c>
    </row>
    <row r="16" spans="1:22" ht="15" customHeight="1" x14ac:dyDescent="0.2">
      <c r="A16" s="5" t="s">
        <v>730</v>
      </c>
      <c r="B16" s="78">
        <f>'Debt Schedule'!B19*Assumptions!B9</f>
        <v>0</v>
      </c>
      <c r="C16" s="78">
        <f>'Debt Schedule'!C19*Assumptions!B9</f>
        <v>0</v>
      </c>
      <c r="D16" s="78">
        <f>'Debt Schedule'!D19*Assumptions!B9</f>
        <v>0</v>
      </c>
      <c r="E16" s="78">
        <f>'Debt Schedule'!E19*Assumptions!B9</f>
        <v>10.313333333333333</v>
      </c>
      <c r="F16" s="78">
        <f>'Debt Schedule'!F19*Assumptions!B9</f>
        <v>9.1000000000000014</v>
      </c>
      <c r="G16" s="78">
        <f>'Debt Schedule'!G19*Assumptions!B9</f>
        <v>7.8866666666666658</v>
      </c>
      <c r="H16" s="78">
        <f>'Debt Schedule'!H19*Assumptions!B9</f>
        <v>6.6733333333333338</v>
      </c>
      <c r="I16" s="78">
        <f>'Debt Schedule'!I19*Assumptions!B9</f>
        <v>5.46</v>
      </c>
      <c r="J16" s="78">
        <f>'Debt Schedule'!J19*Assumptions!B9</f>
        <v>4.2466666666666653</v>
      </c>
      <c r="K16" s="78">
        <f>'Debt Schedule'!K19*Assumptions!B9</f>
        <v>3.0333333333333328</v>
      </c>
      <c r="L16" s="78">
        <f>'Debt Schedule'!L19*Assumptions!B9</f>
        <v>1.8199999999999992</v>
      </c>
      <c r="M16" s="78">
        <f>'Debt Schedule'!M19*Assumptions!B9</f>
        <v>0.60666666666666613</v>
      </c>
      <c r="N16" s="78">
        <f>'Debt Schedule'!N19*Assumptions!B9</f>
        <v>0</v>
      </c>
      <c r="O16" s="78">
        <f>'Debt Schedule'!O19*Assumptions!B9</f>
        <v>0</v>
      </c>
      <c r="P16" s="78">
        <f>'Debt Schedule'!P19*Assumptions!B9</f>
        <v>0</v>
      </c>
      <c r="Q16" s="78">
        <f>'Debt Schedule'!Q19*Assumptions!B9</f>
        <v>0</v>
      </c>
      <c r="R16" s="78">
        <f>'Debt Schedule'!R19*Assumptions!B9</f>
        <v>0</v>
      </c>
      <c r="S16" s="78">
        <f>'Debt Schedule'!S19*Assumptions!B9</f>
        <v>0</v>
      </c>
      <c r="T16" s="78">
        <f>'Debt Schedule'!T19*Assumptions!B9</f>
        <v>0</v>
      </c>
      <c r="U16" s="78">
        <f>'Debt Schedule'!U19*Assumptions!B9</f>
        <v>0</v>
      </c>
      <c r="V16" s="78">
        <f>'Debt Schedule'!V19*Assumptions!B9</f>
        <v>0</v>
      </c>
    </row>
    <row r="17" spans="1:22" ht="15" customHeight="1" x14ac:dyDescent="0.2">
      <c r="A17" s="35" t="s">
        <v>731</v>
      </c>
      <c r="B17" s="87">
        <f t="shared" ref="B17:V17" si="1">SUM(B12:B16)</f>
        <v>-78.75</v>
      </c>
      <c r="C17" s="87">
        <f t="shared" si="1"/>
        <v>-118.125</v>
      </c>
      <c r="D17" s="87">
        <f t="shared" si="1"/>
        <v>-65.625</v>
      </c>
      <c r="E17" s="87">
        <f t="shared" si="1"/>
        <v>-39.360292205723802</v>
      </c>
      <c r="F17" s="87">
        <f t="shared" si="1"/>
        <v>51.76329667121184</v>
      </c>
      <c r="G17" s="87">
        <f t="shared" si="1"/>
        <v>123.4367727261412</v>
      </c>
      <c r="H17" s="87">
        <f t="shared" si="1"/>
        <v>133.50043558097386</v>
      </c>
      <c r="I17" s="87">
        <f t="shared" si="1"/>
        <v>148.88974206001893</v>
      </c>
      <c r="J17" s="87">
        <f t="shared" si="1"/>
        <v>182.02144645345993</v>
      </c>
      <c r="K17" s="87">
        <f t="shared" si="1"/>
        <v>196.19251729232738</v>
      </c>
      <c r="L17" s="87">
        <f t="shared" si="1"/>
        <v>202.84868870671951</v>
      </c>
      <c r="M17" s="87">
        <f t="shared" si="1"/>
        <v>209.54108471336804</v>
      </c>
      <c r="N17" s="87">
        <f t="shared" si="1"/>
        <v>268.87623399988388</v>
      </c>
      <c r="O17" s="87">
        <f t="shared" si="1"/>
        <v>272.52064093252454</v>
      </c>
      <c r="P17" s="87">
        <f t="shared" si="1"/>
        <v>276.20078453072244</v>
      </c>
      <c r="Q17" s="87">
        <f t="shared" si="1"/>
        <v>279.91645074096095</v>
      </c>
      <c r="R17" s="87">
        <f t="shared" si="1"/>
        <v>283.66739800898324</v>
      </c>
      <c r="S17" s="87">
        <f t="shared" si="1"/>
        <v>287.45335614928456</v>
      </c>
      <c r="T17" s="87">
        <f t="shared" si="1"/>
        <v>291.27402517748271</v>
      </c>
      <c r="U17" s="87">
        <f t="shared" si="1"/>
        <v>255.12907410446343</v>
      </c>
      <c r="V17" s="87">
        <f t="shared" si="1"/>
        <v>181.96832067919564</v>
      </c>
    </row>
    <row r="18" spans="1:22" ht="15" customHeight="1" x14ac:dyDescent="0.2">
      <c r="A18" s="5" t="s">
        <v>732</v>
      </c>
      <c r="B18" s="78">
        <f>B17</f>
        <v>-78.75</v>
      </c>
      <c r="C18" s="78">
        <f t="shared" ref="C18:V18" si="2">B18+C17</f>
        <v>-196.875</v>
      </c>
      <c r="D18" s="78">
        <f t="shared" si="2"/>
        <v>-262.5</v>
      </c>
      <c r="E18" s="78">
        <f t="shared" si="2"/>
        <v>-301.86029220572379</v>
      </c>
      <c r="F18" s="78">
        <f t="shared" si="2"/>
        <v>-250.09699553451196</v>
      </c>
      <c r="G18" s="78">
        <f t="shared" si="2"/>
        <v>-126.66022280837076</v>
      </c>
      <c r="H18" s="78">
        <f t="shared" si="2"/>
        <v>6.8402127726030955</v>
      </c>
      <c r="I18" s="78">
        <f t="shared" si="2"/>
        <v>155.72995483262201</v>
      </c>
      <c r="J18" s="78">
        <f t="shared" si="2"/>
        <v>337.75140128608194</v>
      </c>
      <c r="K18" s="78">
        <f t="shared" si="2"/>
        <v>533.94391857840935</v>
      </c>
      <c r="L18" s="78">
        <f t="shared" si="2"/>
        <v>736.79260728512884</v>
      </c>
      <c r="M18" s="78">
        <f t="shared" si="2"/>
        <v>946.33369199849687</v>
      </c>
      <c r="N18" s="78">
        <f t="shared" si="2"/>
        <v>1215.2099259983806</v>
      </c>
      <c r="O18" s="78">
        <f t="shared" si="2"/>
        <v>1487.7305669309053</v>
      </c>
      <c r="P18" s="78">
        <f t="shared" si="2"/>
        <v>1763.9313514616279</v>
      </c>
      <c r="Q18" s="78">
        <f t="shared" si="2"/>
        <v>2043.8478022025888</v>
      </c>
      <c r="R18" s="78">
        <f t="shared" si="2"/>
        <v>2327.5152002115719</v>
      </c>
      <c r="S18" s="78">
        <f t="shared" si="2"/>
        <v>2614.9685563608564</v>
      </c>
      <c r="T18" s="78">
        <f t="shared" si="2"/>
        <v>2906.242581538339</v>
      </c>
      <c r="U18" s="78">
        <f t="shared" si="2"/>
        <v>3161.3716556428026</v>
      </c>
      <c r="V18" s="78">
        <f t="shared" si="2"/>
        <v>3343.3399763219982</v>
      </c>
    </row>
    <row r="20" spans="1:22" ht="15" customHeight="1" x14ac:dyDescent="0.2">
      <c r="A20" s="3" t="s">
        <v>733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</row>
    <row r="21" spans="1:22" ht="15" customHeight="1" x14ac:dyDescent="0.2">
      <c r="A21" s="35" t="s">
        <v>734</v>
      </c>
      <c r="B21" s="92">
        <f>NPV(Assumptions!B8,C17:V17)+B17</f>
        <v>500.63309840657496</v>
      </c>
    </row>
    <row r="22" spans="1:22" ht="15" customHeight="1" x14ac:dyDescent="0.2">
      <c r="A22" s="35" t="s">
        <v>735</v>
      </c>
      <c r="B22" s="93">
        <f>IRR(B17:V17)</f>
        <v>0.29194574160172304</v>
      </c>
    </row>
    <row r="23" spans="1:22" ht="15" customHeight="1" x14ac:dyDescent="0.2">
      <c r="A23" s="35" t="s">
        <v>736</v>
      </c>
      <c r="B23" s="36">
        <f>COUNTIF(B18:V18,"&lt;0")</f>
        <v>6</v>
      </c>
    </row>
  </sheetData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Assumptions</vt:lpstr>
      <vt:lpstr>Commodity Templates</vt:lpstr>
      <vt:lpstr>Resources &amp; Reserves</vt:lpstr>
      <vt:lpstr>Resource Depletion</vt:lpstr>
      <vt:lpstr>Hedging</vt:lpstr>
      <vt:lpstr>Project Cash Flow</vt:lpstr>
      <vt:lpstr>Working Capital</vt:lpstr>
      <vt:lpstr>Debt Schedule</vt:lpstr>
      <vt:lpstr>Equity Cash Flow</vt:lpstr>
      <vt:lpstr>Financial Statements</vt:lpstr>
      <vt:lpstr>Dashboard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Mark Rosslee</cp:lastModifiedBy>
  <cp:revision>0</cp:revision>
  <dcterms:created xsi:type="dcterms:W3CDTF">2026-02-09T09:24:55Z</dcterms:created>
  <dcterms:modified xsi:type="dcterms:W3CDTF">2026-02-09T10:22:50Z</dcterms:modified>
  <dc:language>en-US</dc:language>
</cp:coreProperties>
</file>